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7780" windowHeight="11460" tabRatio="500" activeTab="0"/>
  </bookViews>
  <sheets>
    <sheet name="CNC" sheetId="1" r:id="rId1"/>
    <sheet name="INFO" sheetId="2" r:id="rId2"/>
  </sheets>
  <definedNames>
    <definedName name="_xlnm.Print_Area" localSheetId="0">'CNC'!$A$1:$G$35</definedName>
    <definedName name="_xlnm.Print_Area" localSheetId="1">'INFO'!$A$2:$C$29</definedName>
  </definedNames>
  <calcPr fullCalcOnLoad="1"/>
</workbook>
</file>

<file path=xl/sharedStrings.xml><?xml version="1.0" encoding="utf-8"?>
<sst xmlns="http://schemas.openxmlformats.org/spreadsheetml/2006/main" count="2606" uniqueCount="2201">
  <si>
    <t>ページの一番下で、言語を選択下さい。次に、最初の４つのボックスに入力すると、推奨のカッタが提示されます。その中から一つ、カッタをお選びいただきますと、そのカッタについて推奨切削条件、ねじ切り製作所要時間などの情報をご覧いただけます。ＣＮＣプログラムもすべてご覧いただけます。ＣＮＣプログラムをコピーして、お客様のＣＮＣファイルに貼り付けていただくこともできます。残りの６つのボックスは、スミカット社が推奨する条件以外に設定する場合にご利用下さい。</t>
  </si>
  <si>
    <r>
      <t>首先在畫面右下方可選擇您所需要的語言，左上方四個方塊中選擇機器設備、工件材質及銑牙的基本資料，一旦選定程式提供所選擇的合適刀具後，所有的切削條件包括轉速、銑牙完成時間及全套完整的</t>
    </r>
    <r>
      <rPr>
        <sz val="9"/>
        <rFont val="Verdana"/>
        <family val="2"/>
      </rPr>
      <t>CNC</t>
    </r>
    <r>
      <rPr>
        <sz val="9"/>
        <rFont val="細明體"/>
        <family val="3"/>
      </rPr>
      <t>程式均會同時顯示；其他六個方塊的建議值您也可以修改以符合您的需求。</t>
    </r>
  </si>
  <si>
    <t>Ruostumaton, austeettinen</t>
  </si>
  <si>
    <t>Ruostumaton, ferriittinen</t>
  </si>
  <si>
    <t>Teräs, karkaistu, &lt; 45 HRC</t>
  </si>
  <si>
    <t>Teräs, karkaistu, &lt; 55 HRC</t>
  </si>
  <si>
    <t>Teräs, karkaistu, &lt; 65 HRC</t>
  </si>
  <si>
    <t>Valurauta harmaa, &lt; 500 N/mm2</t>
  </si>
  <si>
    <t>Valurauta harmaa, &lt; 1000 N/mm2</t>
  </si>
  <si>
    <t>Valurauta adusoitu, &lt; 700 N/mm2</t>
  </si>
  <si>
    <t>Valurauta adusoitu, &lt; 1000 N/mm2</t>
  </si>
  <si>
    <t>l = Leikkuusärmänpituus (mm)</t>
  </si>
  <si>
    <t>z = Leikkuiden määrä</t>
  </si>
  <si>
    <t>V = Lastuamisnopeus (m/min)</t>
  </si>
  <si>
    <t>Fz = Hammassyöttö (mm/z)</t>
  </si>
  <si>
    <t>Lastujen määrä, radiaali (max 3)</t>
  </si>
  <si>
    <t>N = karan kierrokset (varv/min)</t>
  </si>
  <si>
    <t>FD = syöttö kierteen halkaisiassa (mm/min)</t>
  </si>
  <si>
    <t>Fd = syöttö jyrsimen keskiössä (mm/min)</t>
  </si>
  <si>
    <t>T = työstöaika  sekunneissa</t>
  </si>
  <si>
    <r>
      <t>Вышеприведенные характеристики резки являются только рекомендуемыми начальными значениями. Влияние имеют многие факторы, требующие внести поправки, например стабильность машины, инструментальная оснастка и пр.</t>
    </r>
    <r>
      <rPr>
        <sz val="9"/>
        <color indexed="8"/>
        <rFont val="Arial"/>
        <family val="2"/>
      </rPr>
      <t xml:space="preserve"> </t>
    </r>
    <r>
      <rPr>
        <sz val="9"/>
        <rFont val="Arial"/>
        <family val="2"/>
      </rPr>
      <t>SmiCut не несет никакой ответственности за ущерб, причиненный в связи с использованием программы ЧПУ или данных по резьбе, рекомендуемых программным обеспечением.</t>
    </r>
  </si>
  <si>
    <t>1012, 1 pass, microfräsar, Heidenhain</t>
  </si>
  <si>
    <t xml:space="preserve"> FN 0: Q2 =+0</t>
  </si>
  <si>
    <t>1022, 2 pass, microfräsar, Heidenhain</t>
  </si>
  <si>
    <t xml:space="preserve"> LBL 102</t>
  </si>
  <si>
    <t xml:space="preserve"> FN 12: IF +Q2 LT +Q1 GOTO LBL 102</t>
  </si>
  <si>
    <t xml:space="preserve"> LBL 103</t>
  </si>
  <si>
    <t>1032, 3 pass, microfräsar, Heidenhain</t>
  </si>
  <si>
    <t xml:space="preserve"> FN 12: IF +Q2 LT +Q1 GOTO LBL 103</t>
  </si>
  <si>
    <t xml:space="preserve">하나 또는 두개의 이를 가진 표준 쓰레드 밀 타입인 NM을 선택할 경우, 시작으로   부터 나사가 완료될 때까지 프로그램은 나선을 자동적으로 만들 것입니다.            만일 다른 툴로 동일한 작업을 하기 원할 경우, 사각형 칸6 에 절삭날의 길이에 따른 피치를 등록해야 합니다. </t>
  </si>
  <si>
    <t xml:space="preserve">샹크에서 가장 가까운 곳의 마지막 나사는 공구 직경 보다 큼니다.                        그러므로 밀링 커터로 작업 할 때, 이 부분의 공구 직경을 입력해야 합니다. </t>
  </si>
  <si>
    <t>回主畫面</t>
  </si>
  <si>
    <r>
      <t>纯钛</t>
    </r>
    <r>
      <rPr>
        <sz val="10"/>
        <rFont val="Arial"/>
        <family val="2"/>
      </rPr>
      <t>, &lt; 700 N/mm2</t>
    </r>
  </si>
  <si>
    <r>
      <t>钛合金</t>
    </r>
    <r>
      <rPr>
        <sz val="10"/>
        <rFont val="Arial"/>
        <family val="2"/>
      </rPr>
      <t>, &lt; 900 N/mm2</t>
    </r>
  </si>
  <si>
    <r>
      <t>钛合金</t>
    </r>
    <r>
      <rPr>
        <sz val="10"/>
        <rFont val="Arial"/>
        <family val="2"/>
      </rPr>
      <t>, &lt; 1250 N/mm2</t>
    </r>
  </si>
  <si>
    <r>
      <t>纯镍</t>
    </r>
    <r>
      <rPr>
        <sz val="10"/>
        <rFont val="Arial"/>
        <family val="2"/>
      </rPr>
      <t>, &lt; 500 N/mm2</t>
    </r>
  </si>
  <si>
    <r>
      <t>镍合金</t>
    </r>
    <r>
      <rPr>
        <sz val="10"/>
        <rFont val="Arial"/>
        <family val="2"/>
      </rPr>
      <t>, &lt; 900 N/mm2</t>
    </r>
  </si>
  <si>
    <r>
      <t>镍合金</t>
    </r>
    <r>
      <rPr>
        <sz val="10"/>
        <rFont val="Arial"/>
        <family val="2"/>
      </rPr>
      <t>, &lt; 1250 N/mm2</t>
    </r>
  </si>
  <si>
    <r>
      <t>从右边最下端选择一种语言。在菜单中前面四个空格中填入足够的信息后，软件会显示一系列推荐的螺纹铣刀。选定其中一把后，软件将列出推荐的切削参数和加工该螺纹所需的时间。完整的</t>
    </r>
    <r>
      <rPr>
        <sz val="9"/>
        <rFont val="Arial"/>
        <family val="2"/>
      </rPr>
      <t>CNC</t>
    </r>
    <r>
      <rPr>
        <sz val="9"/>
        <rFont val="宋体"/>
        <family val="0"/>
      </rPr>
      <t>加工程序也会显示出来。</t>
    </r>
    <r>
      <rPr>
        <sz val="9"/>
        <rFont val="Arial"/>
        <family val="2"/>
      </rPr>
      <t>CNC</t>
    </r>
    <r>
      <rPr>
        <sz val="9"/>
        <rFont val="宋体"/>
        <family val="0"/>
      </rPr>
      <t>加工程序可以被复制并粘贴到你的</t>
    </r>
    <r>
      <rPr>
        <sz val="9"/>
        <rFont val="Arial"/>
        <family val="2"/>
      </rPr>
      <t>CNC</t>
    </r>
    <r>
      <rPr>
        <sz val="9"/>
        <rFont val="宋体"/>
        <family val="0"/>
      </rPr>
      <t>程序文件中。如果不愿接受推荐值，则须填写另外的</t>
    </r>
    <r>
      <rPr>
        <sz val="9"/>
        <rFont val="Arial"/>
        <family val="2"/>
      </rPr>
      <t>6</t>
    </r>
    <r>
      <rPr>
        <sz val="9"/>
        <rFont val="宋体"/>
        <family val="0"/>
      </rPr>
      <t>个空格。</t>
    </r>
  </si>
  <si>
    <t>Titaani, seostettu, &lt; 1250 N/mm2</t>
  </si>
  <si>
    <t>Nikkeli, ei seostettu, &lt; 500 N/mm2</t>
  </si>
  <si>
    <t>Nikkeli, seostettu, &lt; 900 N/mm2</t>
  </si>
  <si>
    <t>Nikkeli, seostettu, &lt; 1250 N/mm2</t>
  </si>
  <si>
    <t>Kupari, ei seostettu, &lt; 350 N/mm2</t>
  </si>
  <si>
    <t>Kupari, messinki, pronssi, &lt; 700 N/mm2</t>
  </si>
  <si>
    <t>Kupari, pronssi korkea murtolujuus, &lt; 1500 N/mm2</t>
  </si>
  <si>
    <t>Alumiini, seostettu, &lt; 0.5% Si</t>
  </si>
  <si>
    <t>Alumiini, seostettu, &lt; 10% Si</t>
  </si>
  <si>
    <t>Alumiini, seostettu, &gt; 10% Si</t>
  </si>
  <si>
    <t>P = Nousu (mm)</t>
  </si>
  <si>
    <t>このプログラムでは、ツールの補正を極力おさえる方式を考えています。この方法は短い動きでＲ補正をしようする際に起こる問題を解決します。したがって、コントロールシステムの中のツールで”０”に近いものをご選定下さい。</t>
  </si>
  <si>
    <t>您可使用本程式調整其刃徑尺寸以接近零的數據去微幅修整牙孔。</t>
  </si>
  <si>
    <t>お客様が、１刃あるいは２刃の標準品ＮＭタイプをご選択いただくと、このプログラムは自動的にねじが完成するまでの１つの螺旋として処理します。もし、他のツールをご利用の際には、ピッチをボックス６の刃長としてご入力下さい。</t>
  </si>
  <si>
    <t>Inwendig draadsnijden met aangedreven gereedschap</t>
  </si>
  <si>
    <t xml:space="preserve">SmiCut 의 쓰레드 밀에서 피치 직경은 광학적으로 측정되었고, 이론상의 외부      직경은 각각의 공구에 레이져 마킹 되어 있습니다.                                              이 측정값은 공구 직경(사각형 칸 5) 옆의 사각형 칸에 기록되어야 한다.               당신은 아마도 올바른 나사를 바로 얻을 것입니다. 조정할 필요가 있을 경우, 같은 사각형 칸에서 또는 콘트롤 시스템의 툴링 라이브러리에서 이것을 할 수 있습니다. </t>
  </si>
  <si>
    <r>
      <t>SmiCut</t>
    </r>
    <r>
      <rPr>
        <sz val="9"/>
        <rFont val="宋体"/>
        <family val="0"/>
      </rPr>
      <t>采用光学方法精确测量出螺纹铣刀的螺纹中径，刀具的理论最大外径就用激光直接标记在每一把刀具上。测量结果应填入的位置在</t>
    </r>
    <r>
      <rPr>
        <sz val="9"/>
        <rFont val="Arial"/>
        <family val="2"/>
      </rPr>
      <t>“</t>
    </r>
    <r>
      <rPr>
        <sz val="9"/>
        <rFont val="宋体"/>
        <family val="0"/>
      </rPr>
      <t>刀具直径</t>
    </r>
    <r>
      <rPr>
        <sz val="9"/>
        <rFont val="Arial"/>
        <family val="2"/>
      </rPr>
      <t>”</t>
    </r>
    <r>
      <rPr>
        <sz val="9"/>
        <rFont val="宋体"/>
        <family val="0"/>
      </rPr>
      <t>一栏旁边的空格内（第</t>
    </r>
    <r>
      <rPr>
        <sz val="9"/>
        <rFont val="Arial"/>
        <family val="2"/>
      </rPr>
      <t>5</t>
    </r>
    <r>
      <rPr>
        <sz val="9"/>
        <rFont val="宋体"/>
        <family val="0"/>
      </rPr>
      <t>格）。通常不经修正就可以直接得到准确的螺纹直径。一旦有必要做出修正时，你可以就在这一栏的空格内做出调整，或者也可以调整控制系统的刀库文件中的数值。</t>
    </r>
  </si>
  <si>
    <t>もし刃長が要求のものより短い場合に、プログラムは自動的に数パスでねじを切ります。</t>
  </si>
  <si>
    <r>
      <t>如果您所使用的不是程式清單中刀具，您可自行依據實際的數字去修改方塊</t>
    </r>
    <r>
      <rPr>
        <sz val="9"/>
        <rFont val="Verdana"/>
        <family val="2"/>
      </rPr>
      <t>5~7</t>
    </r>
    <r>
      <rPr>
        <sz val="9"/>
        <rFont val="細明體"/>
        <family val="3"/>
      </rPr>
      <t>以取得切削數據。</t>
    </r>
  </si>
  <si>
    <r>
      <t>如果你使用的刀具在列表中没有，你可以在第</t>
    </r>
    <r>
      <rPr>
        <sz val="9"/>
        <rFont val="Arial"/>
        <family val="2"/>
      </rPr>
      <t>5 - 7</t>
    </r>
    <r>
      <rPr>
        <sz val="9"/>
        <rFont val="宋体"/>
        <family val="0"/>
      </rPr>
      <t>空格中直接输入刀具直径、刃长和刃数。</t>
    </r>
  </si>
  <si>
    <t xml:space="preserve">만일 목록에 없는 툴을 사용한다면, 공구 직경, 절삭날 길이 그리고 절삭날의 숫자를  사각형 칸 5-7 에 입력할 수 있습니다. </t>
  </si>
  <si>
    <t>Jyrsimen halkaisia joka annetaan on lähinnä vartta. Siksi täytyy kierteen halkaisia joka annetaan olla se osa työkalusta joka on kosketuksessa työkaluun.</t>
  </si>
  <si>
    <r>
      <t>當您選用</t>
    </r>
    <r>
      <rPr>
        <sz val="9"/>
        <rFont val="Verdana"/>
        <family val="2"/>
      </rPr>
      <t>NM</t>
    </r>
    <r>
      <rPr>
        <sz val="9"/>
        <rFont val="細明體"/>
        <family val="3"/>
      </rPr>
      <t>型的刀具以一或二牙去銑牙時，程式會自動提供完成銑牙的數據。如果您想以其他的刀具去完成同樣的牙，只要重新登錄方塊</t>
    </r>
    <r>
      <rPr>
        <sz val="9"/>
        <rFont val="Verdana"/>
        <family val="2"/>
      </rPr>
      <t>6</t>
    </r>
    <r>
      <rPr>
        <sz val="9"/>
        <rFont val="細明體"/>
        <family val="3"/>
      </rPr>
      <t>即可。</t>
    </r>
  </si>
  <si>
    <r>
      <t>选择标准型</t>
    </r>
    <r>
      <rPr>
        <sz val="9"/>
        <rFont val="Arial"/>
        <family val="2"/>
      </rPr>
      <t>NM</t>
    </r>
    <r>
      <rPr>
        <sz val="9"/>
        <rFont val="宋体"/>
        <family val="0"/>
      </rPr>
      <t>，软件就会自动生成螺旋加工程序并在螺纹结束的位置停止。如果想用另外一把刀做同样加工，必须记录螺距以及刃长（第</t>
    </r>
    <r>
      <rPr>
        <sz val="9"/>
        <rFont val="Arial"/>
        <family val="2"/>
      </rPr>
      <t>6</t>
    </r>
    <r>
      <rPr>
        <sz val="9"/>
        <rFont val="宋体"/>
        <family val="0"/>
      </rPr>
      <t>空格处）。</t>
    </r>
  </si>
  <si>
    <t>如果銑牙刀刃尺寸小於需要的刃徑，程式會自動顯示分次完成的次數。</t>
  </si>
  <si>
    <t>ボックス５にカッタ径をご入力下さい。６にチップの刃長、７にチップの数をご入力下さい。必要に応じて、プログラムは自動的に数パスでねじを切ります。</t>
  </si>
  <si>
    <r>
      <t>如果需要，您可重新依據程式提示的數據再次登錄方塊</t>
    </r>
    <r>
      <rPr>
        <sz val="9"/>
        <rFont val="Verdana"/>
        <family val="2"/>
      </rPr>
      <t>5</t>
    </r>
    <r>
      <rPr>
        <sz val="9"/>
        <rFont val="細明體"/>
        <family val="3"/>
      </rPr>
      <t>、</t>
    </r>
    <r>
      <rPr>
        <sz val="9"/>
        <rFont val="Verdana"/>
        <family val="2"/>
      </rPr>
      <t>6</t>
    </r>
    <r>
      <rPr>
        <sz val="9"/>
        <rFont val="細明體"/>
        <family val="3"/>
      </rPr>
      <t>及</t>
    </r>
    <r>
      <rPr>
        <sz val="9"/>
        <rFont val="Verdana"/>
        <family val="2"/>
      </rPr>
      <t>7</t>
    </r>
    <r>
      <rPr>
        <sz val="9"/>
        <rFont val="細明體"/>
        <family val="3"/>
      </rPr>
      <t>的數據以取得更精準的切削數據。</t>
    </r>
  </si>
  <si>
    <r>
      <t>第</t>
    </r>
    <r>
      <rPr>
        <sz val="9"/>
        <rFont val="Arial"/>
        <family val="2"/>
      </rPr>
      <t>5</t>
    </r>
    <r>
      <rPr>
        <sz val="9"/>
        <rFont val="宋体"/>
        <family val="0"/>
      </rPr>
      <t>空格内填入刀具直径，第</t>
    </r>
    <r>
      <rPr>
        <sz val="9"/>
        <rFont val="Arial"/>
        <family val="2"/>
      </rPr>
      <t>6</t>
    </r>
    <r>
      <rPr>
        <sz val="9"/>
        <rFont val="宋体"/>
        <family val="0"/>
      </rPr>
      <t>空格内填入刀片的切削长度，第</t>
    </r>
    <r>
      <rPr>
        <sz val="9"/>
        <rFont val="Arial"/>
        <family val="2"/>
      </rPr>
      <t>7</t>
    </r>
    <r>
      <rPr>
        <sz val="9"/>
        <rFont val="宋体"/>
        <family val="0"/>
      </rPr>
      <t>空格内填入刀片的数量。如果需要，软件会自动生成按多个走刀次数完成全部螺纹长度加工的数控程序。</t>
    </r>
  </si>
  <si>
    <t xml:space="preserve">사각형 칸5 에 공구직경을, 사각형 칸6 에 인서트의 절삭가공 길이를, 사각형 칸7 에 인서트의 수를 등록하십시오. 필요하다면 프로그램은 여러번 반복해서 완전한 길이의 공구를 자동적으로 선정 할 것입니다. </t>
  </si>
  <si>
    <r>
      <t>本程式所提供的數值均為建議值，適當的切削條件仍視機器狀況、夾具品質、冷卻油使用</t>
    </r>
    <r>
      <rPr>
        <sz val="9"/>
        <rFont val="Verdana"/>
        <family val="2"/>
      </rPr>
      <t>…</t>
    </r>
    <r>
      <rPr>
        <sz val="9"/>
        <rFont val="細明體"/>
        <family val="3"/>
      </rPr>
      <t>等等而改變。因此若因本</t>
    </r>
    <r>
      <rPr>
        <sz val="9"/>
        <rFont val="Verdana"/>
        <family val="2"/>
      </rPr>
      <t>CNC</t>
    </r>
    <r>
      <rPr>
        <sz val="9"/>
        <rFont val="細明體"/>
        <family val="3"/>
      </rPr>
      <t>程式造成的任何損失</t>
    </r>
    <r>
      <rPr>
        <sz val="9"/>
        <rFont val="Verdana"/>
        <family val="2"/>
      </rPr>
      <t>SmiCut</t>
    </r>
    <r>
      <rPr>
        <sz val="9"/>
        <rFont val="細明體"/>
        <family val="3"/>
      </rPr>
      <t>恕無法負責。</t>
    </r>
  </si>
  <si>
    <t>锥度螺纹铣刀，需要填入刀具上距离柄部最近的那个完整螺纹牙型所在位置处的螺纹直径。</t>
  </si>
  <si>
    <t>錐度銑牙刀是以大徑為尺寸去標註的，因此重新登錄實際需要的尺寸是有必要的。</t>
  </si>
  <si>
    <t>返回</t>
  </si>
  <si>
    <t>돌아감</t>
  </si>
  <si>
    <t>(THAI)</t>
  </si>
  <si>
    <r>
      <t>不锈钢</t>
    </r>
    <r>
      <rPr>
        <sz val="10"/>
        <rFont val="Arial"/>
        <family val="2"/>
      </rPr>
      <t xml:space="preserve">, </t>
    </r>
    <r>
      <rPr>
        <sz val="10"/>
        <rFont val="宋体"/>
        <family val="0"/>
      </rPr>
      <t>铁素体和奥氏体</t>
    </r>
  </si>
  <si>
    <r>
      <t>这里的切削参数应视为推荐使用的初始设置值。这些参数会受很多因素的影响，例如，机床的稳定性、工具系统的因素等等，因此有必要做调整。</t>
    </r>
    <r>
      <rPr>
        <sz val="9"/>
        <rFont val="Arial"/>
        <family val="2"/>
      </rPr>
      <t>SmiCut</t>
    </r>
    <r>
      <rPr>
        <sz val="9"/>
        <rFont val="宋体"/>
        <family val="0"/>
      </rPr>
      <t>声明</t>
    </r>
    <r>
      <rPr>
        <sz val="9"/>
        <rFont val="Arial"/>
        <family val="2"/>
      </rPr>
      <t xml:space="preserve">, </t>
    </r>
    <r>
      <rPr>
        <sz val="9"/>
        <rFont val="宋体"/>
        <family val="0"/>
      </rPr>
      <t>对使用这里的</t>
    </r>
    <r>
      <rPr>
        <sz val="9"/>
        <rFont val="Arial"/>
        <family val="2"/>
      </rPr>
      <t>CNC</t>
    </r>
    <r>
      <rPr>
        <sz val="9"/>
        <rFont val="宋体"/>
        <family val="0"/>
      </rPr>
      <t>程序或使用所推荐的切削参数而可能产生的不良后果不承担任何责任。</t>
    </r>
    <r>
      <rPr>
        <sz val="9"/>
        <rFont val="Arial"/>
        <family val="2"/>
      </rPr>
      <t xml:space="preserve"> </t>
    </r>
  </si>
  <si>
    <t>언급된 절삭조건은 오로지 추천되는 시작값입니다. 영향을 미칠 수 있는 많은 사항들이 있으므로 조정할 필요가 있습니다. 예를 들어, 기계의 안정성, 툴링 장치 등   입니다. SmiCut 은 소프트웨어에 의해 추천된 CNC 프로그램을 사용하거나 또는   절삭조건를 사용할 때 발생할 수 있는 손상에 대해서는, 어떠한 책임도 지지 않습니다.</t>
  </si>
  <si>
    <r>
      <t>纯铜</t>
    </r>
    <r>
      <rPr>
        <sz val="10"/>
        <rFont val="Arial"/>
        <family val="2"/>
      </rPr>
      <t>, &lt; 350 N/mm2</t>
    </r>
  </si>
  <si>
    <r>
      <t>铜</t>
    </r>
    <r>
      <rPr>
        <sz val="10"/>
        <rFont val="Arial"/>
        <family val="2"/>
      </rPr>
      <t xml:space="preserve">, </t>
    </r>
    <r>
      <rPr>
        <sz val="10"/>
        <rFont val="宋体"/>
        <family val="0"/>
      </rPr>
      <t>黄铜</t>
    </r>
    <r>
      <rPr>
        <sz val="10"/>
        <rFont val="Arial"/>
        <family val="2"/>
      </rPr>
      <t xml:space="preserve">, </t>
    </r>
    <r>
      <rPr>
        <sz val="10"/>
        <rFont val="宋体"/>
        <family val="0"/>
      </rPr>
      <t>青铜</t>
    </r>
    <r>
      <rPr>
        <sz val="10"/>
        <rFont val="Arial"/>
        <family val="2"/>
      </rPr>
      <t>, &lt; 700 N/mm2</t>
    </r>
  </si>
  <si>
    <r>
      <t>铜</t>
    </r>
    <r>
      <rPr>
        <sz val="10"/>
        <rFont val="Arial"/>
        <family val="2"/>
      </rPr>
      <t xml:space="preserve">, </t>
    </r>
    <r>
      <rPr>
        <sz val="10"/>
        <rFont val="宋体"/>
        <family val="0"/>
      </rPr>
      <t>高强度青铜</t>
    </r>
    <r>
      <rPr>
        <sz val="10"/>
        <rFont val="Arial"/>
        <family val="2"/>
      </rPr>
      <t>, &lt; 1500 N/mm2</t>
    </r>
  </si>
  <si>
    <t>纯铝</t>
  </si>
  <si>
    <r>
      <t>铝合金</t>
    </r>
    <r>
      <rPr>
        <sz val="10"/>
        <rFont val="Arial"/>
        <family val="2"/>
      </rPr>
      <t>,  &lt; 0.5% Si</t>
    </r>
  </si>
  <si>
    <r>
      <t>铝合金</t>
    </r>
    <r>
      <rPr>
        <sz val="10"/>
        <rFont val="Arial"/>
        <family val="2"/>
      </rPr>
      <t>, &lt; 10% Si</t>
    </r>
  </si>
  <si>
    <r>
      <t>铝合金</t>
    </r>
    <r>
      <rPr>
        <sz val="10"/>
        <rFont val="Arial"/>
        <family val="2"/>
      </rPr>
      <t>, &gt; 10% Si</t>
    </r>
  </si>
  <si>
    <r>
      <t>镍基合金</t>
    </r>
    <r>
      <rPr>
        <sz val="10"/>
        <color indexed="8"/>
        <rFont val="Arial"/>
        <family val="2"/>
      </rPr>
      <t xml:space="preserve"> Inconel 718</t>
    </r>
  </si>
  <si>
    <t>石墨</t>
  </si>
  <si>
    <r>
      <t>CNC</t>
    </r>
    <r>
      <rPr>
        <sz val="10"/>
        <rFont val="宋体"/>
        <family val="0"/>
      </rPr>
      <t>程序</t>
    </r>
    <r>
      <rPr>
        <sz val="10"/>
        <rFont val="Arial"/>
        <family val="2"/>
      </rPr>
      <t xml:space="preserve">, </t>
    </r>
    <r>
      <rPr>
        <sz val="10"/>
        <rFont val="宋体"/>
        <family val="0"/>
      </rPr>
      <t>用于海德汉数控系统</t>
    </r>
  </si>
  <si>
    <r>
      <t>CNC</t>
    </r>
    <r>
      <rPr>
        <sz val="10"/>
        <rFont val="宋体"/>
        <family val="0"/>
      </rPr>
      <t>程序</t>
    </r>
    <r>
      <rPr>
        <sz val="10"/>
        <rFont val="Arial"/>
        <family val="2"/>
      </rPr>
      <t xml:space="preserve">, </t>
    </r>
    <r>
      <rPr>
        <sz val="10"/>
        <rFont val="宋体"/>
        <family val="0"/>
      </rPr>
      <t>用于西门子数控系统</t>
    </r>
  </si>
  <si>
    <r>
      <t>CNC</t>
    </r>
    <r>
      <rPr>
        <sz val="10"/>
        <rFont val="宋体"/>
        <family val="0"/>
      </rPr>
      <t>程序</t>
    </r>
    <r>
      <rPr>
        <sz val="10"/>
        <rFont val="Arial"/>
        <family val="2"/>
      </rPr>
      <t xml:space="preserve">,  </t>
    </r>
    <r>
      <rPr>
        <sz val="10"/>
        <rFont val="宋体"/>
        <family val="0"/>
      </rPr>
      <t>用于</t>
    </r>
    <r>
      <rPr>
        <sz val="10"/>
        <rFont val="Arial"/>
        <family val="2"/>
      </rPr>
      <t>NUM</t>
    </r>
    <r>
      <rPr>
        <sz val="10"/>
        <rFont val="宋体"/>
        <family val="0"/>
      </rPr>
      <t>数控系统</t>
    </r>
  </si>
  <si>
    <r>
      <t>CNC</t>
    </r>
    <r>
      <rPr>
        <sz val="10"/>
        <rFont val="宋体"/>
        <family val="0"/>
      </rPr>
      <t>程序</t>
    </r>
    <r>
      <rPr>
        <sz val="10"/>
        <rFont val="Arial"/>
        <family val="2"/>
      </rPr>
      <t xml:space="preserve">, </t>
    </r>
    <r>
      <rPr>
        <sz val="10"/>
        <rFont val="宋体"/>
        <family val="0"/>
      </rPr>
      <t>用于发格数控系统</t>
    </r>
  </si>
  <si>
    <r>
      <t>CNC</t>
    </r>
    <r>
      <rPr>
        <sz val="10"/>
        <rFont val="宋体"/>
        <family val="0"/>
      </rPr>
      <t>程序</t>
    </r>
    <r>
      <rPr>
        <sz val="10"/>
        <rFont val="Arial"/>
        <family val="2"/>
      </rPr>
      <t xml:space="preserve">, </t>
    </r>
    <r>
      <rPr>
        <sz val="10"/>
        <rFont val="宋体"/>
        <family val="0"/>
      </rPr>
      <t>用于马扎克数控系统</t>
    </r>
  </si>
  <si>
    <r>
      <t>CNC</t>
    </r>
    <r>
      <rPr>
        <sz val="10"/>
        <rFont val="宋体"/>
        <family val="0"/>
      </rPr>
      <t>程序</t>
    </r>
    <r>
      <rPr>
        <sz val="10"/>
        <rFont val="Arial"/>
        <family val="2"/>
      </rPr>
      <t xml:space="preserve">, </t>
    </r>
    <r>
      <rPr>
        <sz val="10"/>
        <rFont val="宋体"/>
        <family val="0"/>
      </rPr>
      <t>用于三菱数控系统</t>
    </r>
  </si>
  <si>
    <t>Lastujen määrä, axiaali</t>
  </si>
  <si>
    <t>Teräs, matala hiili, &lt; 0,25% C, &lt; 400 N/mm2</t>
  </si>
  <si>
    <t>Teräs, normaali hiili, &lt; 0,55% C, &lt; 700 N/mm2</t>
  </si>
  <si>
    <t>Teräs, korkea hiili, &lt; 0,85% C, &lt; 850 N/mm2</t>
  </si>
  <si>
    <t>Teräs, matala seos, &lt; 850 N/mm2</t>
  </si>
  <si>
    <t>Teräs, korkea seos, &lt; 1200 N/mm2</t>
  </si>
  <si>
    <t>Titaani, ei seostettu, &lt; 700 N/mm2</t>
  </si>
  <si>
    <t>Titaani, seostettu, &lt; 900 N/mm2</t>
  </si>
  <si>
    <t>가는 허리의 쓰레드 밀</t>
  </si>
  <si>
    <t>교환용 인서트를 사용하는 쓰레드 밀링 커터</t>
  </si>
  <si>
    <t>테이퍼 나사</t>
  </si>
  <si>
    <r>
      <t xml:space="preserve">D = </t>
    </r>
    <r>
      <rPr>
        <sz val="10"/>
        <rFont val="宋体"/>
        <family val="0"/>
      </rPr>
      <t>螺纹直径</t>
    </r>
    <r>
      <rPr>
        <sz val="10"/>
        <rFont val="Arial"/>
        <family val="2"/>
      </rPr>
      <t xml:space="preserve"> (mm)</t>
    </r>
  </si>
  <si>
    <r>
      <t xml:space="preserve">P = </t>
    </r>
    <r>
      <rPr>
        <sz val="10"/>
        <rFont val="宋体"/>
        <family val="0"/>
      </rPr>
      <t>螺距</t>
    </r>
    <r>
      <rPr>
        <sz val="10"/>
        <rFont val="Arial"/>
        <family val="2"/>
      </rPr>
      <t xml:space="preserve"> (mm)</t>
    </r>
  </si>
  <si>
    <r>
      <t xml:space="preserve">P = </t>
    </r>
    <r>
      <rPr>
        <sz val="10"/>
        <rFont val="宋体"/>
        <family val="0"/>
      </rPr>
      <t>螺距</t>
    </r>
    <r>
      <rPr>
        <sz val="10"/>
        <rFont val="Arial"/>
        <family val="2"/>
      </rPr>
      <t xml:space="preserve"> (TPI - </t>
    </r>
    <r>
      <rPr>
        <sz val="10"/>
        <rFont val="宋体"/>
        <family val="0"/>
      </rPr>
      <t>每英寸牙数</t>
    </r>
    <r>
      <rPr>
        <sz val="10"/>
        <rFont val="Arial"/>
        <family val="2"/>
      </rPr>
      <t>)</t>
    </r>
  </si>
  <si>
    <r>
      <t xml:space="preserve">Fz = </t>
    </r>
    <r>
      <rPr>
        <sz val="10"/>
        <rFont val="宋体"/>
        <family val="0"/>
      </rPr>
      <t>每齿进给速度</t>
    </r>
    <r>
      <rPr>
        <sz val="10"/>
        <rFont val="Arial"/>
        <family val="2"/>
      </rPr>
      <t xml:space="preserve"> (mm/</t>
    </r>
    <r>
      <rPr>
        <sz val="10"/>
        <rFont val="宋体"/>
        <family val="0"/>
      </rPr>
      <t>刃</t>
    </r>
    <r>
      <rPr>
        <sz val="10"/>
        <rFont val="Arial"/>
        <family val="2"/>
      </rPr>
      <t>)</t>
    </r>
  </si>
  <si>
    <r>
      <t>走刀次数</t>
    </r>
    <r>
      <rPr>
        <sz val="10"/>
        <rFont val="Arial"/>
        <family val="2"/>
      </rPr>
      <t xml:space="preserve">, </t>
    </r>
    <r>
      <rPr>
        <sz val="10"/>
        <rFont val="宋体"/>
        <family val="0"/>
      </rPr>
      <t>径向</t>
    </r>
    <r>
      <rPr>
        <sz val="10"/>
        <rFont val="Arial"/>
        <family val="2"/>
      </rPr>
      <t xml:space="preserve"> (</t>
    </r>
    <r>
      <rPr>
        <sz val="10"/>
        <rFont val="宋体"/>
        <family val="0"/>
      </rPr>
      <t>最多</t>
    </r>
    <r>
      <rPr>
        <sz val="10"/>
        <rFont val="Arial"/>
        <family val="2"/>
      </rPr>
      <t>3</t>
    </r>
    <r>
      <rPr>
        <sz val="10"/>
        <rFont val="宋体"/>
        <family val="0"/>
      </rPr>
      <t>次</t>
    </r>
    <r>
      <rPr>
        <sz val="10"/>
        <rFont val="Arial"/>
        <family val="2"/>
      </rPr>
      <t xml:space="preserve"> )</t>
    </r>
  </si>
  <si>
    <t>走刀次数, 轴向</t>
  </si>
  <si>
    <t>D = Kierteen halkaisia (mm)</t>
  </si>
  <si>
    <t>P = nousu (TPI)</t>
  </si>
  <si>
    <t>L = Kierteen pituus (mm)</t>
  </si>
  <si>
    <t>S = Turvaetäisyys (mm)</t>
  </si>
  <si>
    <t>d = Jyrsimen halkaisia (mm)</t>
  </si>
  <si>
    <t>在本软件中，刀具补偿仅用于微量调整。补偿可以去除采用半径补偿做短距离加工而可能引起的误差问题。因此应该在控制系统的刀库文件中选择一个接近于零的刀具直径补偿值。</t>
  </si>
  <si>
    <t xml:space="preserve">이 프로그램에서, 툴링의 보정은 아주 작은 조절을 위해서 만 사용됩니다.             이것는 작은 움직임인 반경의 보정이 발생되었을 때, 문제들을 제거할 것입니다.                     그러므로 컨트롤 시스템의 툴링 라이브러리에서 공구 직경은 제로에 가까운 값을  선택하십시오. </t>
  </si>
  <si>
    <t xml:space="preserve">오른쪽에서 가장 알맞은 언어를 선택하고 내려받은 다음 첫번째 네개의 사각형     칸을 채우십시오. 충분한 정보로 부터 정리된 프로그램은, 추천될 만한 밀링 공구의 영역을 제공할 것입니다. 당신이 공구 하나를 선택할 경우, 추천 절삭조건과 나사를     가공하는 시간을 포함한 공구에 대한 정보를 보여줄 것입니다. 완성된 CNC           프로그램을 볼 수 있을 것입니다. CNC 프로그램은 복사되어 당신의 CNC 파일 안에         붙여넣을 수 있습니다. 나머지 여섯 개의 사각형 칸은 당신이 추천값을 승인하지   않을 경우에만 완성될 것입니다. </t>
  </si>
  <si>
    <r>
      <t xml:space="preserve">NPSF - </t>
    </r>
    <r>
      <rPr>
        <sz val="10"/>
        <rFont val="宋体"/>
        <family val="0"/>
      </rPr>
      <t>干封美制燃料管用内直螺纹</t>
    </r>
  </si>
  <si>
    <r>
      <t xml:space="preserve">PG - DIN40430 </t>
    </r>
    <r>
      <rPr>
        <sz val="10"/>
        <rFont val="宋体"/>
        <family val="0"/>
      </rPr>
      <t>钢管螺纹</t>
    </r>
  </si>
  <si>
    <r>
      <t>低碳钢</t>
    </r>
    <r>
      <rPr>
        <sz val="10"/>
        <rFont val="Arial"/>
        <family val="2"/>
      </rPr>
      <t>, &lt; 0,25% C, &lt; 400 N/mm2</t>
    </r>
  </si>
  <si>
    <r>
      <t>低合金钢</t>
    </r>
    <r>
      <rPr>
        <sz val="10"/>
        <rFont val="Arial"/>
        <family val="2"/>
      </rPr>
      <t>, &lt; 850 N/mm2</t>
    </r>
  </si>
  <si>
    <r>
      <t>高合金钢</t>
    </r>
    <r>
      <rPr>
        <sz val="10"/>
        <rFont val="Arial"/>
        <family val="2"/>
      </rPr>
      <t>, &lt; 1200 N/mm2</t>
    </r>
  </si>
  <si>
    <r>
      <t>淬火钢</t>
    </r>
    <r>
      <rPr>
        <sz val="10"/>
        <rFont val="Arial"/>
        <family val="2"/>
      </rPr>
      <t>, &lt; 45 HRC</t>
    </r>
  </si>
  <si>
    <r>
      <t>淬火钢</t>
    </r>
    <r>
      <rPr>
        <sz val="10"/>
        <rFont val="Arial"/>
        <family val="2"/>
      </rPr>
      <t>, &lt; 55 HRC</t>
    </r>
  </si>
  <si>
    <r>
      <t>淬火钢</t>
    </r>
    <r>
      <rPr>
        <sz val="10"/>
        <rFont val="Arial"/>
        <family val="2"/>
      </rPr>
      <t>, &lt; 65 HRC</t>
    </r>
  </si>
  <si>
    <r>
      <t>铸铁中片状石墨</t>
    </r>
    <r>
      <rPr>
        <sz val="10"/>
        <rFont val="Arial"/>
        <family val="2"/>
      </rPr>
      <t>,  &lt; 500 N/mm2</t>
    </r>
  </si>
  <si>
    <r>
      <t>铸铁中片状石墨</t>
    </r>
    <r>
      <rPr>
        <sz val="10"/>
        <rFont val="Arial"/>
        <family val="2"/>
      </rPr>
      <t>, &lt; 1000 N/mm2</t>
    </r>
  </si>
  <si>
    <r>
      <t>铸铁</t>
    </r>
    <r>
      <rPr>
        <sz val="10"/>
        <rFont val="Arial"/>
        <family val="2"/>
      </rPr>
      <t xml:space="preserve">, </t>
    </r>
    <r>
      <rPr>
        <sz val="10"/>
        <rFont val="宋体"/>
        <family val="0"/>
      </rPr>
      <t>球墨铸铁</t>
    </r>
    <r>
      <rPr>
        <sz val="10"/>
        <rFont val="Arial"/>
        <family val="2"/>
      </rPr>
      <t xml:space="preserve">, </t>
    </r>
    <r>
      <rPr>
        <sz val="10"/>
        <rFont val="宋体"/>
        <family val="0"/>
      </rPr>
      <t>可锻铸铁</t>
    </r>
    <r>
      <rPr>
        <sz val="10"/>
        <rFont val="Arial"/>
        <family val="2"/>
      </rPr>
      <t xml:space="preserve"> &lt; 700 N/mm2</t>
    </r>
  </si>
  <si>
    <r>
      <t>铸铁</t>
    </r>
    <r>
      <rPr>
        <sz val="10"/>
        <rFont val="Arial"/>
        <family val="2"/>
      </rPr>
      <t xml:space="preserve">, </t>
    </r>
    <r>
      <rPr>
        <sz val="10"/>
        <rFont val="宋体"/>
        <family val="0"/>
      </rPr>
      <t>球墨铸铁</t>
    </r>
    <r>
      <rPr>
        <sz val="10"/>
        <rFont val="Arial"/>
        <family val="2"/>
      </rPr>
      <t xml:space="preserve">, </t>
    </r>
    <r>
      <rPr>
        <sz val="10"/>
        <rFont val="宋体"/>
        <family val="0"/>
      </rPr>
      <t>可锻铸铁</t>
    </r>
    <r>
      <rPr>
        <sz val="10"/>
        <rFont val="Arial"/>
        <family val="2"/>
      </rPr>
      <t xml:space="preserve"> &lt; 1000 N/mm2</t>
    </r>
  </si>
  <si>
    <t>ピッチのネジ径はスミカット社で最適な数値を計算いたします。そして、計算上の外径はそれぞれのカッタにレーザーマークされます。その数値はカッタ径の外側のボックス(5)に表示されます。通常お客様の要望にあったカッタがすぐにご覧いただけますが、必要に応じてボックス入力して調整してください。あるいはコントロールシステムのツールライブラリをご覧下さい。</t>
  </si>
  <si>
    <r>
      <t>通常</t>
    </r>
    <r>
      <rPr>
        <sz val="9"/>
        <rFont val="Verdana"/>
        <family val="2"/>
      </rPr>
      <t>SmiCut</t>
    </r>
    <r>
      <rPr>
        <sz val="9"/>
        <rFont val="細明體"/>
        <family val="3"/>
      </rPr>
      <t>會將銑牙刀的外徑以雷射刻在每支銑牙刀的柄上，您可將此外徑登錄到方塊</t>
    </r>
    <r>
      <rPr>
        <sz val="9"/>
        <rFont val="Verdana"/>
        <family val="2"/>
      </rPr>
      <t>5</t>
    </r>
    <r>
      <rPr>
        <sz val="9"/>
        <rFont val="細明體"/>
        <family val="3"/>
      </rPr>
      <t>中以取得更精確的切削數據。</t>
    </r>
  </si>
  <si>
    <r>
      <t>알루미늄</t>
    </r>
    <r>
      <rPr>
        <sz val="9"/>
        <rFont val="Verdana"/>
        <family val="2"/>
      </rPr>
      <t xml:space="preserve"> </t>
    </r>
    <r>
      <rPr>
        <sz val="9"/>
        <rFont val="돋움"/>
        <family val="3"/>
      </rPr>
      <t>합금</t>
    </r>
    <r>
      <rPr>
        <sz val="9"/>
        <rFont val="Verdana"/>
        <family val="2"/>
      </rPr>
      <t xml:space="preserve">, </t>
    </r>
    <r>
      <rPr>
        <sz val="9"/>
        <rFont val="돋움"/>
        <family val="3"/>
      </rPr>
      <t>실리콘</t>
    </r>
    <r>
      <rPr>
        <sz val="9"/>
        <rFont val="Verdana"/>
        <family val="2"/>
      </rPr>
      <t xml:space="preserve"> 10% </t>
    </r>
    <r>
      <rPr>
        <sz val="9"/>
        <rFont val="돋움"/>
        <family val="3"/>
      </rPr>
      <t>이상</t>
    </r>
  </si>
  <si>
    <r>
      <t>인코넬</t>
    </r>
    <r>
      <rPr>
        <sz val="9"/>
        <rFont val="Verdana"/>
        <family val="2"/>
      </rPr>
      <t xml:space="preserve"> 718, </t>
    </r>
    <r>
      <rPr>
        <sz val="9"/>
        <rFont val="돋움"/>
        <family val="3"/>
      </rPr>
      <t>초합금</t>
    </r>
  </si>
  <si>
    <t>흑연</t>
  </si>
  <si>
    <r>
      <t xml:space="preserve">D = </t>
    </r>
    <r>
      <rPr>
        <sz val="9"/>
        <rFont val="돋움"/>
        <family val="3"/>
      </rPr>
      <t>나사</t>
    </r>
    <r>
      <rPr>
        <sz val="9"/>
        <rFont val="Verdana"/>
        <family val="2"/>
      </rPr>
      <t xml:space="preserve"> </t>
    </r>
    <r>
      <rPr>
        <sz val="9"/>
        <rFont val="돋움"/>
        <family val="3"/>
      </rPr>
      <t>직경</t>
    </r>
    <r>
      <rPr>
        <sz val="9"/>
        <rFont val="Verdana"/>
        <family val="2"/>
      </rPr>
      <t xml:space="preserve"> (mm)</t>
    </r>
  </si>
  <si>
    <r>
      <t xml:space="preserve">L = </t>
    </r>
    <r>
      <rPr>
        <sz val="9"/>
        <rFont val="돋움"/>
        <family val="3"/>
      </rPr>
      <t>나사</t>
    </r>
    <r>
      <rPr>
        <sz val="9"/>
        <rFont val="Verdana"/>
        <family val="2"/>
      </rPr>
      <t xml:space="preserve"> </t>
    </r>
    <r>
      <rPr>
        <sz val="9"/>
        <rFont val="돋움"/>
        <family val="3"/>
      </rPr>
      <t>길이</t>
    </r>
    <r>
      <rPr>
        <sz val="9"/>
        <rFont val="Verdana"/>
        <family val="2"/>
      </rPr>
      <t xml:space="preserve"> (mm)</t>
    </r>
  </si>
  <si>
    <t>ねじの径はすぐにご修正下さい</t>
  </si>
  <si>
    <t>リスト外ツールとスペシャルツール</t>
  </si>
  <si>
    <t>もし、お客様がリスト外ツールをご利用の際には、カッタ径、刃長、刃数をボックス５－７にご入力下さい。</t>
  </si>
  <si>
    <t>Valitse kieli täytä neljä ensimmäistä ruutua. Näin avautuu ohjelma ja ehdottaa sopivia työkaluja. Kun olet vallinnut työkalun tulee näyttöön työkalu, työstöarvot sekä työstöaika. loput ruudut täytetään vain jos et noudata sousiteltuja työstöarvoja.</t>
  </si>
  <si>
    <t>每刃有一个或两个牙（单牙或双牙）的螺纹铣刀</t>
  </si>
  <si>
    <t>缩颈螺纹铣刀</t>
  </si>
  <si>
    <t>可转位螺纹铣刀</t>
  </si>
  <si>
    <r>
      <t xml:space="preserve">V = </t>
    </r>
    <r>
      <rPr>
        <sz val="10"/>
        <rFont val="宋体"/>
        <family val="0"/>
      </rPr>
      <t>切削速度</t>
    </r>
    <r>
      <rPr>
        <sz val="10"/>
        <rFont val="Arial"/>
        <family val="2"/>
      </rPr>
      <t xml:space="preserve">  (mm/min)</t>
    </r>
  </si>
  <si>
    <t>툴링의 보정</t>
  </si>
  <si>
    <t>빠른 나사 직경의 수정</t>
  </si>
  <si>
    <t>목록에 없는 스페셜 툴링</t>
  </si>
  <si>
    <t>절삭날당 하나 또는 두개의 이를 가진 쓰레드 밀</t>
  </si>
  <si>
    <t>如果螺纹铣刀的刃长短于要加工的螺纹长度，软件会自动生成分步加工螺纹的数控程序。</t>
  </si>
  <si>
    <t>만일 쓰레드 밀이 요구되는 길이보다 짧은 커팅 길이라면, 프로그램은 여러 번 반복해서 공구를 자동적으로 선정 할 것 입니다.</t>
  </si>
  <si>
    <t>表の切削条件はあくまでも起点の設定条件です。機械の剛性、工具の周辺設備等、諸条件に応じて切削速度、送りを上下させてください。尚、スミカット社は品質と併せて安全な製品作りを進めています。ソフトウェアによるＣＮＣプログラム切削条件で加工を行った際の損傷には、スミカット社は一切責任を負いません。ご活用に際しては、上記の点を注意していただきご愛顧のほどお願いいたします。</t>
  </si>
  <si>
    <r>
      <t>알루미늄</t>
    </r>
    <r>
      <rPr>
        <sz val="9"/>
        <rFont val="Verdana"/>
        <family val="2"/>
      </rPr>
      <t xml:space="preserve"> </t>
    </r>
    <r>
      <rPr>
        <sz val="9"/>
        <rFont val="돋움"/>
        <family val="3"/>
      </rPr>
      <t>합금</t>
    </r>
    <r>
      <rPr>
        <sz val="9"/>
        <rFont val="Verdana"/>
        <family val="2"/>
      </rPr>
      <t xml:space="preserve">, </t>
    </r>
    <r>
      <rPr>
        <sz val="9"/>
        <rFont val="돋움"/>
        <family val="3"/>
      </rPr>
      <t>실리콘</t>
    </r>
    <r>
      <rPr>
        <sz val="9"/>
        <rFont val="Verdana"/>
        <family val="2"/>
      </rPr>
      <t xml:space="preserve"> 0.5% </t>
    </r>
    <r>
      <rPr>
        <sz val="9"/>
        <rFont val="돋움"/>
        <family val="3"/>
      </rPr>
      <t>이하</t>
    </r>
  </si>
  <si>
    <r>
      <t>알루미늄</t>
    </r>
    <r>
      <rPr>
        <sz val="9"/>
        <rFont val="Verdana"/>
        <family val="2"/>
      </rPr>
      <t xml:space="preserve"> </t>
    </r>
    <r>
      <rPr>
        <sz val="9"/>
        <rFont val="돋움"/>
        <family val="3"/>
      </rPr>
      <t>합금</t>
    </r>
    <r>
      <rPr>
        <sz val="9"/>
        <rFont val="Verdana"/>
        <family val="2"/>
      </rPr>
      <t xml:space="preserve">, </t>
    </r>
    <r>
      <rPr>
        <sz val="9"/>
        <rFont val="돋움"/>
        <family val="3"/>
      </rPr>
      <t>실리콘</t>
    </r>
    <r>
      <rPr>
        <sz val="9"/>
        <rFont val="Verdana"/>
        <family val="2"/>
      </rPr>
      <t xml:space="preserve"> 10% </t>
    </r>
    <r>
      <rPr>
        <sz val="9"/>
        <rFont val="돋움"/>
        <family val="3"/>
      </rPr>
      <t>이하</t>
    </r>
  </si>
  <si>
    <t>M - Filettatura Metrica</t>
  </si>
  <si>
    <t>UN - Filettatura Americana</t>
  </si>
  <si>
    <t>BSPT - Filettatura Gas conica</t>
  </si>
  <si>
    <t>NPTF - Filettatura per tubi conica Americana (a tenuta stagna)</t>
  </si>
  <si>
    <t>NPSF - Filettatura per tubi conica Americana (non stagna)</t>
  </si>
  <si>
    <t>PG - Filettatura per tubi elettrici corazzati</t>
  </si>
  <si>
    <t>G - Whitworth, filettatura Gas per tubi</t>
  </si>
  <si>
    <t>NPT - Filettatura per tubi conica Americana</t>
  </si>
  <si>
    <r>
      <t xml:space="preserve">NPSF - </t>
    </r>
    <r>
      <rPr>
        <sz val="9"/>
        <rFont val="돋움"/>
        <family val="3"/>
      </rPr>
      <t>관용</t>
    </r>
    <r>
      <rPr>
        <sz val="9"/>
        <rFont val="Verdana"/>
        <family val="2"/>
      </rPr>
      <t xml:space="preserve"> </t>
    </r>
    <r>
      <rPr>
        <sz val="9"/>
        <rFont val="돋움"/>
        <family val="3"/>
      </rPr>
      <t>평행</t>
    </r>
    <r>
      <rPr>
        <sz val="9"/>
        <rFont val="Verdana"/>
        <family val="2"/>
      </rPr>
      <t xml:space="preserve"> </t>
    </r>
    <r>
      <rPr>
        <sz val="9"/>
        <rFont val="돋움"/>
        <family val="3"/>
      </rPr>
      <t>나사</t>
    </r>
  </si>
  <si>
    <t>Datele de prelucrare mentionate sint doar valori recomandate la pornire. Multe aspecte pot influenta prelucrarea si trebuie facute modificari/ajustari, de exempu stabilitatea masinii, sculele, etc. SmiCut nu isi asuma responsabilitatea pentru defectiunile care apar atunci cind se utilizeaza programul CNC sau parametrii de prelucrare recomandati de software.</t>
  </si>
  <si>
    <t>锥形螺纹</t>
  </si>
  <si>
    <t>中文(简体) (kinesiska, förenklad)</t>
  </si>
  <si>
    <t>中文(简体)</t>
  </si>
  <si>
    <r>
      <t xml:space="preserve">PG - </t>
    </r>
    <r>
      <rPr>
        <sz val="9"/>
        <rFont val="돋움"/>
        <family val="3"/>
      </rPr>
      <t>전선관용</t>
    </r>
    <r>
      <rPr>
        <sz val="9"/>
        <rFont val="Verdana"/>
        <family val="2"/>
      </rPr>
      <t xml:space="preserve"> </t>
    </r>
    <r>
      <rPr>
        <sz val="9"/>
        <rFont val="돋움"/>
        <family val="3"/>
      </rPr>
      <t>나사</t>
    </r>
  </si>
  <si>
    <r>
      <t>저탄소강</t>
    </r>
    <r>
      <rPr>
        <sz val="9"/>
        <rFont val="Verdana"/>
        <family val="2"/>
      </rPr>
      <t xml:space="preserve">, </t>
    </r>
    <r>
      <rPr>
        <sz val="9"/>
        <rFont val="돋움"/>
        <family val="3"/>
      </rPr>
      <t>탄소</t>
    </r>
    <r>
      <rPr>
        <sz val="9"/>
        <rFont val="Verdana"/>
        <family val="2"/>
      </rPr>
      <t xml:space="preserve"> 0,25% </t>
    </r>
    <r>
      <rPr>
        <sz val="9"/>
        <rFont val="돋움"/>
        <family val="3"/>
      </rPr>
      <t>이하</t>
    </r>
    <r>
      <rPr>
        <sz val="9"/>
        <rFont val="Verdana"/>
        <family val="2"/>
      </rPr>
      <t xml:space="preserve">, </t>
    </r>
    <r>
      <rPr>
        <sz val="9"/>
        <rFont val="돋움"/>
        <family val="3"/>
      </rPr>
      <t>인장강도</t>
    </r>
    <r>
      <rPr>
        <sz val="9"/>
        <rFont val="Verdana"/>
        <family val="2"/>
      </rPr>
      <t xml:space="preserve"> 40 Kg/mm2 </t>
    </r>
    <r>
      <rPr>
        <sz val="9"/>
        <rFont val="돋움"/>
        <family val="3"/>
      </rPr>
      <t>이하</t>
    </r>
  </si>
  <si>
    <r>
      <t>중탄소강</t>
    </r>
    <r>
      <rPr>
        <sz val="9"/>
        <rFont val="Verdana"/>
        <family val="2"/>
      </rPr>
      <t xml:space="preserve">, </t>
    </r>
    <r>
      <rPr>
        <sz val="9"/>
        <rFont val="돋움"/>
        <family val="3"/>
      </rPr>
      <t>탄소</t>
    </r>
    <r>
      <rPr>
        <sz val="9"/>
        <rFont val="Verdana"/>
        <family val="2"/>
      </rPr>
      <t xml:space="preserve"> 0,55% </t>
    </r>
    <r>
      <rPr>
        <sz val="9"/>
        <rFont val="돋움"/>
        <family val="3"/>
      </rPr>
      <t>이하</t>
    </r>
    <r>
      <rPr>
        <sz val="9"/>
        <rFont val="Verdana"/>
        <family val="2"/>
      </rPr>
      <t xml:space="preserve">, </t>
    </r>
    <r>
      <rPr>
        <sz val="9"/>
        <rFont val="돋움"/>
        <family val="3"/>
      </rPr>
      <t>인장강도</t>
    </r>
    <r>
      <rPr>
        <sz val="9"/>
        <rFont val="Verdana"/>
        <family val="2"/>
      </rPr>
      <t xml:space="preserve"> 70 Kg/mm2 </t>
    </r>
    <r>
      <rPr>
        <sz val="9"/>
        <rFont val="돋움"/>
        <family val="3"/>
      </rPr>
      <t>이하</t>
    </r>
  </si>
  <si>
    <r>
      <t>고탄소강</t>
    </r>
    <r>
      <rPr>
        <sz val="9"/>
        <rFont val="Verdana"/>
        <family val="2"/>
      </rPr>
      <t xml:space="preserve">, </t>
    </r>
    <r>
      <rPr>
        <sz val="9"/>
        <rFont val="돋움"/>
        <family val="3"/>
      </rPr>
      <t>탄소</t>
    </r>
    <r>
      <rPr>
        <sz val="9"/>
        <rFont val="Verdana"/>
        <family val="2"/>
      </rPr>
      <t xml:space="preserve"> 0,85% </t>
    </r>
    <r>
      <rPr>
        <sz val="9"/>
        <rFont val="돋움"/>
        <family val="3"/>
      </rPr>
      <t>이하</t>
    </r>
    <r>
      <rPr>
        <sz val="9"/>
        <rFont val="Verdana"/>
        <family val="2"/>
      </rPr>
      <t xml:space="preserve">, </t>
    </r>
    <r>
      <rPr>
        <sz val="9"/>
        <rFont val="돋움"/>
        <family val="3"/>
      </rPr>
      <t>인장강도</t>
    </r>
    <r>
      <rPr>
        <sz val="9"/>
        <rFont val="Verdana"/>
        <family val="2"/>
      </rPr>
      <t xml:space="preserve"> 85 Kg/mm2 </t>
    </r>
    <r>
      <rPr>
        <sz val="9"/>
        <rFont val="돋움"/>
        <family val="3"/>
      </rPr>
      <t>이하</t>
    </r>
  </si>
  <si>
    <r>
      <t>저합금강</t>
    </r>
    <r>
      <rPr>
        <sz val="9"/>
        <rFont val="Verdana"/>
        <family val="2"/>
      </rPr>
      <t xml:space="preserve">, </t>
    </r>
    <r>
      <rPr>
        <sz val="9"/>
        <rFont val="돋움"/>
        <family val="3"/>
      </rPr>
      <t>인장강도</t>
    </r>
    <r>
      <rPr>
        <sz val="9"/>
        <rFont val="Verdana"/>
        <family val="2"/>
      </rPr>
      <t xml:space="preserve"> 85 Kg/mm2 </t>
    </r>
    <r>
      <rPr>
        <sz val="9"/>
        <rFont val="돋움"/>
        <family val="3"/>
      </rPr>
      <t>이하</t>
    </r>
  </si>
  <si>
    <r>
      <t>고합금강</t>
    </r>
    <r>
      <rPr>
        <sz val="9"/>
        <rFont val="Verdana"/>
        <family val="2"/>
      </rPr>
      <t xml:space="preserve">, </t>
    </r>
    <r>
      <rPr>
        <sz val="9"/>
        <rFont val="돋움"/>
        <family val="3"/>
      </rPr>
      <t>인장강도</t>
    </r>
    <r>
      <rPr>
        <sz val="9"/>
        <rFont val="Verdana"/>
        <family val="2"/>
      </rPr>
      <t xml:space="preserve"> 120 Kg/mm2 </t>
    </r>
    <r>
      <rPr>
        <sz val="9"/>
        <rFont val="돋움"/>
        <family val="3"/>
      </rPr>
      <t>이하</t>
    </r>
  </si>
  <si>
    <r>
      <t>请在使用前阅读</t>
    </r>
    <r>
      <rPr>
        <sz val="10"/>
        <rFont val="Arial"/>
        <family val="2"/>
      </rPr>
      <t>!</t>
    </r>
  </si>
  <si>
    <r>
      <t>警告</t>
    </r>
    <r>
      <rPr>
        <sz val="10"/>
        <rFont val="Arial"/>
        <family val="2"/>
      </rPr>
      <t>!</t>
    </r>
  </si>
  <si>
    <t>如何使用软件</t>
  </si>
  <si>
    <t>刀具补偿</t>
  </si>
  <si>
    <t>即时修正螺纹直径</t>
  </si>
  <si>
    <t>非标刀具或表中未列出的刀具</t>
  </si>
  <si>
    <r>
      <t>구상흑연</t>
    </r>
    <r>
      <rPr>
        <sz val="9"/>
        <rFont val="Verdana"/>
        <family val="2"/>
      </rPr>
      <t xml:space="preserve"> </t>
    </r>
    <r>
      <rPr>
        <sz val="9"/>
        <rFont val="돋움"/>
        <family val="3"/>
      </rPr>
      <t>주철</t>
    </r>
    <r>
      <rPr>
        <sz val="9"/>
        <rFont val="Verdana"/>
        <family val="2"/>
      </rPr>
      <t xml:space="preserve">, </t>
    </r>
    <r>
      <rPr>
        <sz val="9"/>
        <rFont val="돋움"/>
        <family val="3"/>
      </rPr>
      <t>인장강도</t>
    </r>
    <r>
      <rPr>
        <sz val="9"/>
        <rFont val="Verdana"/>
        <family val="2"/>
      </rPr>
      <t xml:space="preserve"> 100 Kg/mm2 </t>
    </r>
    <r>
      <rPr>
        <sz val="9"/>
        <rFont val="돋움"/>
        <family val="3"/>
      </rPr>
      <t>이하</t>
    </r>
  </si>
  <si>
    <t>스테인리스 스틸(쾌삭용)</t>
  </si>
  <si>
    <r>
      <t>스테인리스</t>
    </r>
    <r>
      <rPr>
        <sz val="9"/>
        <rFont val="Verdana"/>
        <family val="2"/>
      </rPr>
      <t xml:space="preserve"> </t>
    </r>
    <r>
      <rPr>
        <sz val="9"/>
        <rFont val="돋움"/>
        <family val="3"/>
      </rPr>
      <t>스틸</t>
    </r>
    <r>
      <rPr>
        <sz val="9"/>
        <rFont val="Verdana"/>
        <family val="2"/>
      </rPr>
      <t xml:space="preserve">, SUS 3xx </t>
    </r>
    <r>
      <rPr>
        <sz val="9"/>
        <rFont val="돋움"/>
        <family val="3"/>
      </rPr>
      <t>계열</t>
    </r>
  </si>
  <si>
    <t>스테인리스 스틸, SUS 4xx 계열</t>
  </si>
  <si>
    <r>
      <t>순수</t>
    </r>
    <r>
      <rPr>
        <sz val="9"/>
        <rFont val="Verdana"/>
        <family val="2"/>
      </rPr>
      <t xml:space="preserve"> </t>
    </r>
    <r>
      <rPr>
        <sz val="9"/>
        <rFont val="돋움"/>
        <family val="3"/>
      </rPr>
      <t>티타늄</t>
    </r>
    <r>
      <rPr>
        <sz val="9"/>
        <rFont val="Verdana"/>
        <family val="2"/>
      </rPr>
      <t xml:space="preserve">, </t>
    </r>
    <r>
      <rPr>
        <sz val="9"/>
        <rFont val="돋움"/>
        <family val="3"/>
      </rPr>
      <t>인장강도</t>
    </r>
    <r>
      <rPr>
        <sz val="9"/>
        <rFont val="Verdana"/>
        <family val="2"/>
      </rPr>
      <t xml:space="preserve"> 70 Kg/mm2 </t>
    </r>
    <r>
      <rPr>
        <sz val="9"/>
        <rFont val="돋움"/>
        <family val="3"/>
      </rPr>
      <t>이하</t>
    </r>
  </si>
  <si>
    <r>
      <t>열처리강</t>
    </r>
    <r>
      <rPr>
        <sz val="9"/>
        <rFont val="Verdana"/>
        <family val="2"/>
      </rPr>
      <t xml:space="preserve">, </t>
    </r>
    <r>
      <rPr>
        <sz val="9"/>
        <rFont val="돋움"/>
        <family val="3"/>
      </rPr>
      <t>경도</t>
    </r>
    <r>
      <rPr>
        <sz val="9"/>
        <rFont val="Verdana"/>
        <family val="2"/>
      </rPr>
      <t xml:space="preserve"> HRC 45 </t>
    </r>
    <r>
      <rPr>
        <sz val="9"/>
        <rFont val="돋움"/>
        <family val="3"/>
      </rPr>
      <t>이하</t>
    </r>
  </si>
  <si>
    <r>
      <t>열처리강</t>
    </r>
    <r>
      <rPr>
        <sz val="9"/>
        <rFont val="Verdana"/>
        <family val="2"/>
      </rPr>
      <t xml:space="preserve">, </t>
    </r>
    <r>
      <rPr>
        <sz val="9"/>
        <rFont val="돋움"/>
        <family val="3"/>
      </rPr>
      <t>경도</t>
    </r>
    <r>
      <rPr>
        <sz val="9"/>
        <rFont val="Verdana"/>
        <family val="2"/>
      </rPr>
      <t xml:space="preserve"> HRC 55 </t>
    </r>
    <r>
      <rPr>
        <sz val="9"/>
        <rFont val="돋움"/>
        <family val="3"/>
      </rPr>
      <t>이하</t>
    </r>
  </si>
  <si>
    <r>
      <t>열처리강</t>
    </r>
    <r>
      <rPr>
        <sz val="9"/>
        <rFont val="Verdana"/>
        <family val="2"/>
      </rPr>
      <t xml:space="preserve">, </t>
    </r>
    <r>
      <rPr>
        <sz val="9"/>
        <rFont val="돋움"/>
        <family val="3"/>
      </rPr>
      <t>경도</t>
    </r>
    <r>
      <rPr>
        <sz val="9"/>
        <rFont val="Verdana"/>
        <family val="2"/>
      </rPr>
      <t xml:space="preserve"> HRC 65 </t>
    </r>
    <r>
      <rPr>
        <sz val="9"/>
        <rFont val="돋움"/>
        <family val="3"/>
      </rPr>
      <t>이하</t>
    </r>
  </si>
  <si>
    <r>
      <t>주철</t>
    </r>
    <r>
      <rPr>
        <sz val="9"/>
        <rFont val="Verdana"/>
        <family val="2"/>
      </rPr>
      <t xml:space="preserve">, </t>
    </r>
    <r>
      <rPr>
        <sz val="9"/>
        <rFont val="돋움"/>
        <family val="3"/>
      </rPr>
      <t>인장강도</t>
    </r>
    <r>
      <rPr>
        <sz val="9"/>
        <rFont val="Verdana"/>
        <family val="2"/>
      </rPr>
      <t xml:space="preserve"> 100 Kg/mm2 </t>
    </r>
    <r>
      <rPr>
        <sz val="9"/>
        <rFont val="돋움"/>
        <family val="3"/>
      </rPr>
      <t>이하</t>
    </r>
  </si>
  <si>
    <r>
      <t>구상흑연</t>
    </r>
    <r>
      <rPr>
        <sz val="9"/>
        <rFont val="Verdana"/>
        <family val="2"/>
      </rPr>
      <t xml:space="preserve"> </t>
    </r>
    <r>
      <rPr>
        <sz val="9"/>
        <rFont val="돋움"/>
        <family val="3"/>
      </rPr>
      <t>주철</t>
    </r>
    <r>
      <rPr>
        <sz val="9"/>
        <rFont val="Verdana"/>
        <family val="2"/>
      </rPr>
      <t xml:space="preserve">, </t>
    </r>
    <r>
      <rPr>
        <sz val="9"/>
        <rFont val="돋움"/>
        <family val="3"/>
      </rPr>
      <t>인장강도</t>
    </r>
    <r>
      <rPr>
        <sz val="9"/>
        <rFont val="Verdana"/>
        <family val="2"/>
      </rPr>
      <t xml:space="preserve"> 70 Kg/mm2 </t>
    </r>
    <r>
      <rPr>
        <sz val="9"/>
        <rFont val="돋움"/>
        <family val="3"/>
      </rPr>
      <t>이하</t>
    </r>
  </si>
  <si>
    <t>Wartość skoku głowicy freza SmiCut jest zmieżona przez układoptyczny a teoretyczna średnica zewnętrzna jest podana na każdym frezie. Te dane powinny być wpisane w 5-tym polu formularza. Po wprowadzeniu  tych danych otrzymacie Państwo właściwy gwint. W przypadku konieczności kompensaty położenia można tego dokonać w tym samym polu lub w bibliotece narzędziowej systemu kontrolnego.</t>
  </si>
  <si>
    <r>
      <t xml:space="preserve">N = </t>
    </r>
    <r>
      <rPr>
        <sz val="10"/>
        <rFont val="宋体"/>
        <family val="0"/>
      </rPr>
      <t>主轴转速</t>
    </r>
    <r>
      <rPr>
        <sz val="10"/>
        <rFont val="Arial"/>
        <family val="2"/>
      </rPr>
      <t xml:space="preserve"> (rpm)</t>
    </r>
  </si>
  <si>
    <r>
      <t xml:space="preserve">FD = </t>
    </r>
    <r>
      <rPr>
        <sz val="10"/>
        <rFont val="宋体"/>
        <family val="0"/>
      </rPr>
      <t>直径进给速度</t>
    </r>
    <r>
      <rPr>
        <sz val="10"/>
        <rFont val="Arial"/>
        <family val="2"/>
      </rPr>
      <t xml:space="preserve"> (mm/min)</t>
    </r>
  </si>
  <si>
    <r>
      <t xml:space="preserve">Fd = </t>
    </r>
    <r>
      <rPr>
        <sz val="10"/>
        <rFont val="宋体"/>
        <family val="0"/>
      </rPr>
      <t>中心进给速度</t>
    </r>
    <r>
      <rPr>
        <sz val="10"/>
        <rFont val="Arial"/>
        <family val="2"/>
      </rPr>
      <t xml:space="preserve"> (mm/min)</t>
    </r>
  </si>
  <si>
    <r>
      <t xml:space="preserve">T = </t>
    </r>
    <r>
      <rPr>
        <sz val="10"/>
        <rFont val="宋体"/>
        <family val="0"/>
      </rPr>
      <t>螺纹加工时间</t>
    </r>
    <r>
      <rPr>
        <sz val="10"/>
        <rFont val="Arial"/>
        <family val="2"/>
      </rPr>
      <t xml:space="preserve"> (</t>
    </r>
    <r>
      <rPr>
        <sz val="10"/>
        <rFont val="宋体"/>
        <family val="0"/>
      </rPr>
      <t>秒</t>
    </r>
    <r>
      <rPr>
        <sz val="10"/>
        <rFont val="Arial"/>
        <family val="2"/>
      </rPr>
      <t>)</t>
    </r>
  </si>
  <si>
    <r>
      <t>CNC</t>
    </r>
    <r>
      <rPr>
        <sz val="10"/>
        <rFont val="宋体"/>
        <family val="0"/>
      </rPr>
      <t>程序</t>
    </r>
    <r>
      <rPr>
        <sz val="10"/>
        <rFont val="Arial"/>
        <family val="2"/>
      </rPr>
      <t xml:space="preserve">, </t>
    </r>
    <r>
      <rPr>
        <sz val="10"/>
        <rFont val="宋体"/>
        <family val="0"/>
      </rPr>
      <t>用于发那科数控系统</t>
    </r>
  </si>
  <si>
    <t>采用加工中心铣削内螺纹</t>
  </si>
  <si>
    <t>采用车削中心铣削内螺纹</t>
  </si>
  <si>
    <r>
      <t>发那科</t>
    </r>
    <r>
      <rPr>
        <sz val="10"/>
        <rFont val="Arial"/>
        <family val="2"/>
      </rPr>
      <t xml:space="preserve"> (</t>
    </r>
    <r>
      <rPr>
        <sz val="10"/>
        <rFont val="宋体"/>
        <family val="0"/>
      </rPr>
      <t>日本数控系统</t>
    </r>
    <r>
      <rPr>
        <sz val="10"/>
        <rFont val="Arial"/>
        <family val="2"/>
      </rPr>
      <t>)</t>
    </r>
  </si>
  <si>
    <r>
      <t>海德汉</t>
    </r>
    <r>
      <rPr>
        <sz val="10"/>
        <rFont val="Arial"/>
        <family val="2"/>
      </rPr>
      <t xml:space="preserve"> (</t>
    </r>
    <r>
      <rPr>
        <sz val="10"/>
        <rFont val="宋体"/>
        <family val="0"/>
      </rPr>
      <t>德国数控系统</t>
    </r>
    <r>
      <rPr>
        <sz val="10"/>
        <rFont val="Arial"/>
        <family val="2"/>
      </rPr>
      <t>)</t>
    </r>
  </si>
  <si>
    <r>
      <t>西门子</t>
    </r>
    <r>
      <rPr>
        <sz val="10"/>
        <rFont val="Arial"/>
        <family val="2"/>
      </rPr>
      <t xml:space="preserve"> (</t>
    </r>
    <r>
      <rPr>
        <sz val="10"/>
        <rFont val="宋体"/>
        <family val="0"/>
      </rPr>
      <t>德国数控系统</t>
    </r>
    <r>
      <rPr>
        <sz val="10"/>
        <rFont val="Arial"/>
        <family val="2"/>
      </rPr>
      <t>)</t>
    </r>
  </si>
  <si>
    <r>
      <t>NUM (</t>
    </r>
    <r>
      <rPr>
        <sz val="10"/>
        <rFont val="宋体"/>
        <family val="0"/>
      </rPr>
      <t>法国数控系统</t>
    </r>
    <r>
      <rPr>
        <sz val="10"/>
        <rFont val="Arial"/>
        <family val="2"/>
      </rPr>
      <t xml:space="preserve">, </t>
    </r>
    <r>
      <rPr>
        <sz val="10"/>
        <rFont val="宋体"/>
        <family val="0"/>
      </rPr>
      <t>施耐德电气的子公司</t>
    </r>
    <r>
      <rPr>
        <sz val="10"/>
        <rFont val="Arial"/>
        <family val="2"/>
      </rPr>
      <t>)</t>
    </r>
  </si>
  <si>
    <r>
      <t>发格</t>
    </r>
    <r>
      <rPr>
        <sz val="10"/>
        <rFont val="Arial"/>
        <family val="2"/>
      </rPr>
      <t xml:space="preserve"> (</t>
    </r>
    <r>
      <rPr>
        <sz val="10"/>
        <rFont val="宋体"/>
        <family val="0"/>
      </rPr>
      <t>西班牙数控系统</t>
    </r>
    <r>
      <rPr>
        <sz val="10"/>
        <rFont val="Arial"/>
        <family val="2"/>
      </rPr>
      <t>)</t>
    </r>
  </si>
  <si>
    <r>
      <t>马扎克</t>
    </r>
    <r>
      <rPr>
        <sz val="10"/>
        <rFont val="Arial"/>
        <family val="2"/>
      </rPr>
      <t xml:space="preserve"> (</t>
    </r>
    <r>
      <rPr>
        <sz val="10"/>
        <rFont val="宋体"/>
        <family val="0"/>
      </rPr>
      <t>日本数控系统</t>
    </r>
    <r>
      <rPr>
        <sz val="10"/>
        <rFont val="Arial"/>
        <family val="2"/>
      </rPr>
      <t>)</t>
    </r>
  </si>
  <si>
    <r>
      <t>三菱</t>
    </r>
    <r>
      <rPr>
        <sz val="10"/>
        <rFont val="Arial"/>
        <family val="2"/>
      </rPr>
      <t xml:space="preserve"> (</t>
    </r>
    <r>
      <rPr>
        <sz val="10"/>
        <rFont val="宋体"/>
        <family val="0"/>
      </rPr>
      <t>日本数控系统</t>
    </r>
    <r>
      <rPr>
        <sz val="10"/>
        <rFont val="Arial"/>
        <family val="2"/>
      </rPr>
      <t>)</t>
    </r>
  </si>
  <si>
    <r>
      <t xml:space="preserve">M - </t>
    </r>
    <r>
      <rPr>
        <sz val="10"/>
        <rFont val="宋体"/>
        <family val="0"/>
      </rPr>
      <t>公制螺纹</t>
    </r>
  </si>
  <si>
    <r>
      <t xml:space="preserve">UN - </t>
    </r>
    <r>
      <rPr>
        <sz val="10"/>
        <rFont val="宋体"/>
        <family val="0"/>
      </rPr>
      <t>美制统一螺纹</t>
    </r>
  </si>
  <si>
    <r>
      <t xml:space="preserve">G - </t>
    </r>
    <r>
      <rPr>
        <sz val="10"/>
        <rFont val="宋体"/>
        <family val="0"/>
      </rPr>
      <t>惠氏管螺纹</t>
    </r>
  </si>
  <si>
    <r>
      <t xml:space="preserve">BSPT - </t>
    </r>
    <r>
      <rPr>
        <sz val="10"/>
        <rFont val="宋体"/>
        <family val="0"/>
      </rPr>
      <t>英制锥管螺纹</t>
    </r>
  </si>
  <si>
    <r>
      <t xml:space="preserve">NPT - </t>
    </r>
    <r>
      <rPr>
        <sz val="10"/>
        <rFont val="宋体"/>
        <family val="0"/>
      </rPr>
      <t>美制锥管螺纹</t>
    </r>
  </si>
  <si>
    <r>
      <t xml:space="preserve">NPTF - </t>
    </r>
    <r>
      <rPr>
        <sz val="10"/>
        <rFont val="宋体"/>
        <family val="0"/>
      </rPr>
      <t>干封美制锥管螺纹</t>
    </r>
  </si>
  <si>
    <r>
      <t>中碳钢</t>
    </r>
    <r>
      <rPr>
        <sz val="10"/>
        <rFont val="Arial"/>
        <family val="2"/>
      </rPr>
      <t>, &lt; 0,55% C, &lt; 400 N/mm2</t>
    </r>
  </si>
  <si>
    <r>
      <t>高碳钢</t>
    </r>
    <r>
      <rPr>
        <sz val="10"/>
        <rFont val="Arial"/>
        <family val="2"/>
      </rPr>
      <t>, &lt; 0,85% C, &lt; 850 N/mm2</t>
    </r>
  </si>
  <si>
    <r>
      <t>不锈钢</t>
    </r>
    <r>
      <rPr>
        <sz val="10"/>
        <rFont val="Arial"/>
        <family val="2"/>
      </rPr>
      <t xml:space="preserve">, </t>
    </r>
    <r>
      <rPr>
        <sz val="10"/>
        <rFont val="宋体"/>
        <family val="0"/>
      </rPr>
      <t>易切削</t>
    </r>
  </si>
  <si>
    <r>
      <t>不锈钢</t>
    </r>
    <r>
      <rPr>
        <sz val="10"/>
        <rFont val="Arial"/>
        <family val="2"/>
      </rPr>
      <t xml:space="preserve">, </t>
    </r>
    <r>
      <rPr>
        <sz val="10"/>
        <rFont val="宋体"/>
        <family val="0"/>
      </rPr>
      <t>奥氏体</t>
    </r>
  </si>
  <si>
    <t>テーパーねじ</t>
  </si>
  <si>
    <t>カッタ径はシャフトに最も近いねじの先端よりも大きいです。したがって、ねじの径はカッタの加工が行われる部分の値を入力してください。</t>
  </si>
  <si>
    <t>戻る</t>
  </si>
  <si>
    <r>
      <t>지멘스용</t>
    </r>
    <r>
      <rPr>
        <sz val="9"/>
        <rFont val="Verdana"/>
        <family val="2"/>
      </rPr>
      <t xml:space="preserve"> CNC </t>
    </r>
    <r>
      <rPr>
        <sz val="9"/>
        <rFont val="돋움"/>
        <family val="3"/>
      </rPr>
      <t>프로그램</t>
    </r>
  </si>
  <si>
    <r>
      <t>넘용</t>
    </r>
    <r>
      <rPr>
        <sz val="9"/>
        <rFont val="Verdana"/>
        <family val="2"/>
      </rPr>
      <t xml:space="preserve"> CNC </t>
    </r>
    <r>
      <rPr>
        <sz val="9"/>
        <rFont val="돋움"/>
        <family val="3"/>
      </rPr>
      <t>프로그램</t>
    </r>
  </si>
  <si>
    <r>
      <t>파고르용</t>
    </r>
    <r>
      <rPr>
        <sz val="9"/>
        <rFont val="Verdana"/>
        <family val="2"/>
      </rPr>
      <t xml:space="preserve"> CNC </t>
    </r>
    <r>
      <rPr>
        <sz val="9"/>
        <rFont val="돋움"/>
        <family val="3"/>
      </rPr>
      <t>프로그램</t>
    </r>
  </si>
  <si>
    <r>
      <t>마작용</t>
    </r>
    <r>
      <rPr>
        <sz val="9"/>
        <rFont val="Verdana"/>
        <family val="2"/>
      </rPr>
      <t xml:space="preserve"> CNC </t>
    </r>
    <r>
      <rPr>
        <sz val="9"/>
        <rFont val="돋움"/>
        <family val="3"/>
      </rPr>
      <t>프로그램</t>
    </r>
  </si>
  <si>
    <r>
      <t>미쓰비시용</t>
    </r>
    <r>
      <rPr>
        <sz val="9"/>
        <rFont val="Verdana"/>
        <family val="2"/>
      </rPr>
      <t xml:space="preserve"> CNC </t>
    </r>
    <r>
      <rPr>
        <sz val="9"/>
        <rFont val="돋움"/>
        <family val="3"/>
      </rPr>
      <t>프로그램</t>
    </r>
  </si>
  <si>
    <t>사용전에 읽어주세요!</t>
  </si>
  <si>
    <t>경고!</t>
  </si>
  <si>
    <t>１刃あるいは２刃のねじ切りツール</t>
  </si>
  <si>
    <t>より小さい腰まわりのねじ切りツール</t>
  </si>
  <si>
    <t>スローアウェイチップのねじ切りカッタ</t>
  </si>
  <si>
    <t>注意！</t>
  </si>
  <si>
    <t>プログラムの使い方</t>
  </si>
  <si>
    <t>ツール補正</t>
  </si>
  <si>
    <r>
      <t xml:space="preserve">L = </t>
    </r>
    <r>
      <rPr>
        <sz val="10"/>
        <rFont val="宋体"/>
        <family val="0"/>
      </rPr>
      <t>螺纹长度</t>
    </r>
    <r>
      <rPr>
        <sz val="10"/>
        <rFont val="Arial"/>
        <family val="2"/>
      </rPr>
      <t xml:space="preserve"> (mm)</t>
    </r>
  </si>
  <si>
    <r>
      <t xml:space="preserve">S = </t>
    </r>
    <r>
      <rPr>
        <sz val="10"/>
        <rFont val="宋体"/>
        <family val="0"/>
      </rPr>
      <t>安全距离</t>
    </r>
    <r>
      <rPr>
        <sz val="10"/>
        <rFont val="Arial"/>
        <family val="2"/>
      </rPr>
      <t xml:space="preserve"> (mm)</t>
    </r>
  </si>
  <si>
    <r>
      <t xml:space="preserve">d = </t>
    </r>
    <r>
      <rPr>
        <sz val="10"/>
        <rFont val="宋体"/>
        <family val="0"/>
      </rPr>
      <t>刀具直径</t>
    </r>
    <r>
      <rPr>
        <sz val="10"/>
        <rFont val="Arial"/>
        <family val="2"/>
      </rPr>
      <t xml:space="preserve"> (mm)</t>
    </r>
  </si>
  <si>
    <r>
      <t xml:space="preserve">l = </t>
    </r>
    <r>
      <rPr>
        <sz val="10"/>
        <rFont val="宋体"/>
        <family val="0"/>
      </rPr>
      <t>切削刃长度</t>
    </r>
    <r>
      <rPr>
        <sz val="10"/>
        <rFont val="Arial"/>
        <family val="2"/>
      </rPr>
      <t xml:space="preserve"> (mm)</t>
    </r>
  </si>
  <si>
    <r>
      <t xml:space="preserve">z = </t>
    </r>
    <r>
      <rPr>
        <sz val="10"/>
        <rFont val="宋体"/>
        <family val="0"/>
      </rPr>
      <t>齿数</t>
    </r>
  </si>
  <si>
    <t>Välj språk på höger sida längst ner och därefter gör du dina val på rullgardinsmenyerna samt fyller i de fyra första rutorna. Med denna information kommer programmet i den sista rullgardinsmenyn ge dig förslag på lämpliga verktyg. När du valt ett verktyg visas information om verktyget samt rekommenderad skärdata och den tid det kommer ta att tillverka gängan. Förutom detta visas CNC programmet. Detta kan kopieras ut och klistras in i din CNC fil. De övriga sex rutorna fylls endast i om du inte accepterar det rekommenderade.</t>
  </si>
  <si>
    <t>Annetut työstäarvot ovat vain ohjeellisia lähtöarvoja. On monia tekiöitä jotka vaikuttavat työsöarvoihin mm tukevuus, työkalukiinnitys, ets. SmiCut ei vastaa vahingoista joita voi aiheutua käyttäessä CNC ohjelmaa taikka Työstöarvoja.</t>
  </si>
  <si>
    <t>Wybierz język z menu w prawym dolnym rogu i wypełnij cztery pierwsze pola.Po podaniu właściwym wartosci program wybierze rekomendowany zakres frezów.Po wybraniu jednego z narzędzi ,zostaną wyświetlone dane o nim wraz rekomendacją dotyczącą warunków skrawania i czasu wykonania gwintu.Równocześnie zostanie obliczony program CNC ,który można skopiować i zapisać do plików CNC.Pozostałe sześć wolnych pól może być zmienione jedynie w przypadku niezakceptowania wygenerowanych przez program wartości.</t>
  </si>
  <si>
    <t>Kompensacja Narzędzi</t>
  </si>
  <si>
    <r>
      <t xml:space="preserve">V = </t>
    </r>
    <r>
      <rPr>
        <sz val="9"/>
        <rFont val="돋움"/>
        <family val="3"/>
      </rPr>
      <t>절삭속도</t>
    </r>
    <r>
      <rPr>
        <sz val="9"/>
        <rFont val="Verdana"/>
        <family val="2"/>
      </rPr>
      <t xml:space="preserve"> (m/min)</t>
    </r>
  </si>
  <si>
    <r>
      <t xml:space="preserve">Fz = </t>
    </r>
    <r>
      <rPr>
        <sz val="9"/>
        <rFont val="돋움"/>
        <family val="3"/>
      </rPr>
      <t>이송</t>
    </r>
    <r>
      <rPr>
        <sz val="9"/>
        <rFont val="Verdana"/>
        <family val="2"/>
      </rPr>
      <t>/</t>
    </r>
    <r>
      <rPr>
        <sz val="9"/>
        <rFont val="돋움"/>
        <family val="3"/>
      </rPr>
      <t>날당</t>
    </r>
    <r>
      <rPr>
        <sz val="9"/>
        <rFont val="Verdana"/>
        <family val="2"/>
      </rPr>
      <t>(mm/tooth)</t>
    </r>
  </si>
  <si>
    <r>
      <t>반복</t>
    </r>
    <r>
      <rPr>
        <sz val="9"/>
        <rFont val="Verdana"/>
        <family val="2"/>
      </rPr>
      <t xml:space="preserve"> </t>
    </r>
    <r>
      <rPr>
        <sz val="9"/>
        <rFont val="돋움"/>
        <family val="3"/>
      </rPr>
      <t>횟수</t>
    </r>
    <r>
      <rPr>
        <sz val="9"/>
        <rFont val="Verdana"/>
        <family val="2"/>
      </rPr>
      <t xml:space="preserve">, </t>
    </r>
    <r>
      <rPr>
        <sz val="9"/>
        <rFont val="돋움"/>
        <family val="3"/>
      </rPr>
      <t>원주방향</t>
    </r>
    <r>
      <rPr>
        <sz val="9"/>
        <rFont val="Verdana"/>
        <family val="2"/>
      </rPr>
      <t xml:space="preserve"> (max 4)</t>
    </r>
  </si>
  <si>
    <t>반복 횟수, 축방향</t>
  </si>
  <si>
    <r>
      <t xml:space="preserve">N = </t>
    </r>
    <r>
      <rPr>
        <sz val="9"/>
        <rFont val="돋움"/>
        <family val="3"/>
      </rPr>
      <t>스핀들</t>
    </r>
    <r>
      <rPr>
        <sz val="9"/>
        <rFont val="Verdana"/>
        <family val="2"/>
      </rPr>
      <t xml:space="preserve"> </t>
    </r>
    <r>
      <rPr>
        <sz val="9"/>
        <rFont val="돋움"/>
        <family val="3"/>
      </rPr>
      <t>회전수</t>
    </r>
    <r>
      <rPr>
        <sz val="9"/>
        <rFont val="Verdana"/>
        <family val="2"/>
      </rPr>
      <t>(rpm)</t>
    </r>
  </si>
  <si>
    <r>
      <t xml:space="preserve">FD = </t>
    </r>
    <r>
      <rPr>
        <sz val="9"/>
        <rFont val="돋움"/>
        <family val="3"/>
      </rPr>
      <t>나사</t>
    </r>
    <r>
      <rPr>
        <sz val="9"/>
        <rFont val="Verdana"/>
        <family val="2"/>
      </rPr>
      <t xml:space="preserve"> </t>
    </r>
    <r>
      <rPr>
        <sz val="9"/>
        <rFont val="돋움"/>
        <family val="3"/>
      </rPr>
      <t>외경에서의</t>
    </r>
    <r>
      <rPr>
        <sz val="9"/>
        <rFont val="Verdana"/>
        <family val="2"/>
      </rPr>
      <t xml:space="preserve"> </t>
    </r>
    <r>
      <rPr>
        <sz val="9"/>
        <rFont val="돋움"/>
        <family val="3"/>
      </rPr>
      <t>이송</t>
    </r>
    <r>
      <rPr>
        <sz val="9"/>
        <rFont val="Verdana"/>
        <family val="2"/>
      </rPr>
      <t>(mm/min)</t>
    </r>
  </si>
  <si>
    <r>
      <t xml:space="preserve">Fd = </t>
    </r>
    <r>
      <rPr>
        <sz val="9"/>
        <rFont val="돋움"/>
        <family val="3"/>
      </rPr>
      <t>공구</t>
    </r>
    <r>
      <rPr>
        <sz val="9"/>
        <rFont val="Verdana"/>
        <family val="2"/>
      </rPr>
      <t xml:space="preserve"> </t>
    </r>
    <r>
      <rPr>
        <sz val="9"/>
        <rFont val="돋움"/>
        <family val="3"/>
      </rPr>
      <t>중심에서의</t>
    </r>
    <r>
      <rPr>
        <sz val="9"/>
        <rFont val="Verdana"/>
        <family val="2"/>
      </rPr>
      <t xml:space="preserve"> </t>
    </r>
    <r>
      <rPr>
        <sz val="9"/>
        <rFont val="돋움"/>
        <family val="3"/>
      </rPr>
      <t>이송</t>
    </r>
    <r>
      <rPr>
        <sz val="9"/>
        <rFont val="Verdana"/>
        <family val="2"/>
      </rPr>
      <t>(mm/min)</t>
    </r>
  </si>
  <si>
    <r>
      <t xml:space="preserve">T = </t>
    </r>
    <r>
      <rPr>
        <sz val="9"/>
        <rFont val="돋움"/>
        <family val="3"/>
      </rPr>
      <t>쓰레드</t>
    </r>
    <r>
      <rPr>
        <sz val="9"/>
        <rFont val="Verdana"/>
        <family val="2"/>
      </rPr>
      <t xml:space="preserve"> </t>
    </r>
    <r>
      <rPr>
        <sz val="9"/>
        <rFont val="돋움"/>
        <family val="3"/>
      </rPr>
      <t>밀링</t>
    </r>
    <r>
      <rPr>
        <sz val="9"/>
        <rFont val="Verdana"/>
        <family val="2"/>
      </rPr>
      <t xml:space="preserve"> </t>
    </r>
    <r>
      <rPr>
        <sz val="9"/>
        <rFont val="돋움"/>
        <family val="3"/>
      </rPr>
      <t>시간</t>
    </r>
    <r>
      <rPr>
        <sz val="9"/>
        <rFont val="Verdana"/>
        <family val="2"/>
      </rPr>
      <t>(</t>
    </r>
    <r>
      <rPr>
        <sz val="9"/>
        <rFont val="돋움"/>
        <family val="3"/>
      </rPr>
      <t>초</t>
    </r>
    <r>
      <rPr>
        <sz val="9"/>
        <rFont val="Verdana"/>
        <family val="2"/>
      </rPr>
      <t>)</t>
    </r>
  </si>
  <si>
    <t>하이덴하인용 CNC 프로그램</t>
  </si>
  <si>
    <t>Stal Nierdzewna, Ferrytyczna i Austenityczna</t>
  </si>
  <si>
    <t>Titan, Niestopowy &lt; 700 N/mm2</t>
  </si>
  <si>
    <t>Titan , Stopowy, &lt; 900 N/mm2</t>
  </si>
  <si>
    <t>Titan , Stopowy, &lt; 1250 N/mm2</t>
  </si>
  <si>
    <t>Nikiel Niestopowy&lt; 500 N/mm2</t>
  </si>
  <si>
    <t>Nikiel Stopowy, &lt; 900 N/mm2</t>
  </si>
  <si>
    <t>Nikiel Stopowy, &lt; 1250 N/mm2</t>
  </si>
  <si>
    <t>Miedź  Niestopowa &lt; 350 N/mm2</t>
  </si>
  <si>
    <t>Miedź,Mosiąz,Brąz &lt; 700 N/mm2</t>
  </si>
  <si>
    <r>
      <t xml:space="preserve">S = </t>
    </r>
    <r>
      <rPr>
        <sz val="9"/>
        <rFont val="돋움"/>
        <family val="3"/>
      </rPr>
      <t>안전</t>
    </r>
    <r>
      <rPr>
        <sz val="9"/>
        <rFont val="Verdana"/>
        <family val="2"/>
      </rPr>
      <t xml:space="preserve"> </t>
    </r>
    <r>
      <rPr>
        <sz val="9"/>
        <rFont val="돋움"/>
        <family val="3"/>
      </rPr>
      <t>거리</t>
    </r>
    <r>
      <rPr>
        <sz val="9"/>
        <rFont val="Verdana"/>
        <family val="2"/>
      </rPr>
      <t xml:space="preserve"> (mm)</t>
    </r>
  </si>
  <si>
    <r>
      <t xml:space="preserve">d = </t>
    </r>
    <r>
      <rPr>
        <sz val="9"/>
        <rFont val="돋움"/>
        <family val="3"/>
      </rPr>
      <t>공구</t>
    </r>
    <r>
      <rPr>
        <sz val="9"/>
        <rFont val="Verdana"/>
        <family val="2"/>
      </rPr>
      <t xml:space="preserve"> </t>
    </r>
    <r>
      <rPr>
        <sz val="9"/>
        <rFont val="돋움"/>
        <family val="3"/>
      </rPr>
      <t>직경</t>
    </r>
    <r>
      <rPr>
        <sz val="9"/>
        <rFont val="Verdana"/>
        <family val="2"/>
      </rPr>
      <t xml:space="preserve"> (mm)</t>
    </r>
  </si>
  <si>
    <t>W przypadku  narzędzi które nie zostały wymienione w bibliotece  można wprowadzić średnice freza ,długość krawędzi roboczej i ilosc piór w polach 5-7</t>
  </si>
  <si>
    <t>Frezy do gwintów z jednym lub dwoma zębami na ostrzu</t>
  </si>
  <si>
    <t>Program automatycznie utworzy spirale od początku do do końca gwintu kiedy wybrana jest  standardowa głowica NM z jednym lub dwoma zębami na ostrzu.Jeżeli chce się zrobić to samo z innym narzędziem ,należy wprowadzić skok jak i długość krawędzi skrawającej w polu 6</t>
  </si>
  <si>
    <t>Frezy do gwintów odmiana Krótka</t>
  </si>
  <si>
    <t>Program automatycznie wyliczy wymagane wartosci   w kilku krokach jeżeli frez do gwintu ma krótkszą długości roboczej niż założona długość gwintu</t>
  </si>
  <si>
    <t>Głowice frezujące gwinty z płytką wymienną</t>
  </si>
  <si>
    <t>Żeliwo, Żeliwo sferoidalne,Ciągliwe &lt; 1000 N/mm2</t>
  </si>
  <si>
    <t>Stal Nierdzewna,Automatowa</t>
  </si>
  <si>
    <r>
      <t>화낙용</t>
    </r>
    <r>
      <rPr>
        <sz val="9"/>
        <rFont val="Verdana"/>
        <family val="2"/>
      </rPr>
      <t xml:space="preserve"> CNC </t>
    </r>
    <r>
      <rPr>
        <sz val="9"/>
        <rFont val="돋움"/>
        <family val="3"/>
      </rPr>
      <t>프로그램</t>
    </r>
  </si>
  <si>
    <t>Stal Nierdzewna, Austenityczna</t>
  </si>
  <si>
    <t>Stal , niskostopowa, &lt; 850 N/mm2</t>
  </si>
  <si>
    <t>Stal ,wysokostopowa,&lt; 1200 N/mm2</t>
  </si>
  <si>
    <t>Stal, utwardzona, &lt; 45 HRC</t>
  </si>
  <si>
    <t>Stal, utwardzona, &lt; 55 HRC</t>
  </si>
  <si>
    <t>Stal, utwardzona, &lt; 65 HRC</t>
  </si>
  <si>
    <t>Żeliwo, Żeliwo Szare,&lt; 500 N/mm2</t>
  </si>
  <si>
    <t>Żeliwo, Żeliwo Szare,&lt; 1000 N/mm2</t>
  </si>
  <si>
    <t>Żeliwo, Żeliwo sferoidalne,Ciągliwe &lt; 700 N/mm2</t>
  </si>
  <si>
    <t>Miedź,Brąz dużej wytrzymałości  , &lt; 1500 N/mm2</t>
  </si>
  <si>
    <r>
      <t xml:space="preserve">l = </t>
    </r>
    <r>
      <rPr>
        <sz val="9"/>
        <rFont val="돋움"/>
        <family val="3"/>
      </rPr>
      <t>절삭날</t>
    </r>
    <r>
      <rPr>
        <sz val="9"/>
        <rFont val="Verdana"/>
        <family val="2"/>
      </rPr>
      <t xml:space="preserve"> </t>
    </r>
    <r>
      <rPr>
        <sz val="9"/>
        <rFont val="돋움"/>
        <family val="3"/>
      </rPr>
      <t>길이</t>
    </r>
    <r>
      <rPr>
        <sz val="9"/>
        <rFont val="Verdana"/>
        <family val="2"/>
      </rPr>
      <t xml:space="preserve"> (mm)</t>
    </r>
  </si>
  <si>
    <r>
      <t xml:space="preserve">z = </t>
    </r>
    <r>
      <rPr>
        <sz val="9"/>
        <rFont val="돋움"/>
        <family val="3"/>
      </rPr>
      <t>날</t>
    </r>
    <r>
      <rPr>
        <sz val="9"/>
        <rFont val="Verdana"/>
        <family val="2"/>
      </rPr>
      <t xml:space="preserve"> </t>
    </r>
    <r>
      <rPr>
        <sz val="9"/>
        <rFont val="돋움"/>
        <family val="3"/>
      </rPr>
      <t>수</t>
    </r>
  </si>
  <si>
    <t>프로그램 사용 방법</t>
  </si>
  <si>
    <t>머시닝 센터에서의 내경 쓰레드 밀링(나사가공)</t>
  </si>
  <si>
    <t>라이브 툴의 선반에서의 내경 쓰레드 밀링(나사가공)</t>
  </si>
  <si>
    <t>화낙</t>
  </si>
  <si>
    <t>하이덴하인</t>
  </si>
  <si>
    <t>지멘스</t>
  </si>
  <si>
    <t>넘</t>
  </si>
  <si>
    <t>파고르</t>
  </si>
  <si>
    <t>마작</t>
  </si>
  <si>
    <t>미쓰비시</t>
  </si>
  <si>
    <r>
      <t xml:space="preserve">M - </t>
    </r>
    <r>
      <rPr>
        <sz val="9"/>
        <rFont val="돋움"/>
        <family val="3"/>
      </rPr>
      <t>미터나사</t>
    </r>
  </si>
  <si>
    <r>
      <t xml:space="preserve">UN - </t>
    </r>
    <r>
      <rPr>
        <sz val="9"/>
        <rFont val="돋움"/>
        <family val="3"/>
      </rPr>
      <t>인치나사</t>
    </r>
  </si>
  <si>
    <r>
      <t xml:space="preserve">G - </t>
    </r>
    <r>
      <rPr>
        <sz val="9"/>
        <rFont val="돋움"/>
        <family val="3"/>
      </rPr>
      <t>관용</t>
    </r>
    <r>
      <rPr>
        <sz val="9"/>
        <rFont val="Verdana"/>
        <family val="2"/>
      </rPr>
      <t xml:space="preserve"> </t>
    </r>
    <r>
      <rPr>
        <sz val="9"/>
        <rFont val="돋움"/>
        <family val="3"/>
      </rPr>
      <t>위트워드</t>
    </r>
    <r>
      <rPr>
        <sz val="9"/>
        <rFont val="Verdana"/>
        <family val="2"/>
      </rPr>
      <t xml:space="preserve"> </t>
    </r>
    <r>
      <rPr>
        <sz val="9"/>
        <rFont val="돋움"/>
        <family val="3"/>
      </rPr>
      <t>나사</t>
    </r>
  </si>
  <si>
    <r>
      <t xml:space="preserve">BSPT - </t>
    </r>
    <r>
      <rPr>
        <sz val="9"/>
        <rFont val="돋움"/>
        <family val="3"/>
      </rPr>
      <t>관용</t>
    </r>
    <r>
      <rPr>
        <sz val="9"/>
        <rFont val="Verdana"/>
        <family val="2"/>
      </rPr>
      <t xml:space="preserve"> </t>
    </r>
    <r>
      <rPr>
        <sz val="9"/>
        <rFont val="돋움"/>
        <family val="3"/>
      </rPr>
      <t>테이퍼 나사(영국식)</t>
    </r>
  </si>
  <si>
    <r>
      <t xml:space="preserve">NPT - </t>
    </r>
    <r>
      <rPr>
        <sz val="9"/>
        <rFont val="돋움"/>
        <family val="3"/>
      </rPr>
      <t>관용</t>
    </r>
    <r>
      <rPr>
        <sz val="9"/>
        <rFont val="Verdana"/>
        <family val="2"/>
      </rPr>
      <t xml:space="preserve"> </t>
    </r>
    <r>
      <rPr>
        <sz val="9"/>
        <rFont val="돋움"/>
        <family val="3"/>
      </rPr>
      <t>테이퍼 나사</t>
    </r>
  </si>
  <si>
    <r>
      <t xml:space="preserve">NPTF - </t>
    </r>
    <r>
      <rPr>
        <sz val="9"/>
        <rFont val="돋움"/>
        <family val="3"/>
      </rPr>
      <t>드라이씰용, 관용 테이퍼 나사</t>
    </r>
  </si>
  <si>
    <t>S=minimalna odległość od czoła narzędzia do czoła detalu(mm)</t>
  </si>
  <si>
    <t>d=Średnica narzędzia</t>
  </si>
  <si>
    <t>l=długość krawędzi roboczej</t>
  </si>
  <si>
    <t>z=ilość ostrzy</t>
  </si>
  <si>
    <t>V=prędkość skrawania(m/min)</t>
  </si>
  <si>
    <t>Fz=posów na ząb (mm/ząb)</t>
  </si>
  <si>
    <r>
      <t>티타늄</t>
    </r>
    <r>
      <rPr>
        <sz val="9"/>
        <rFont val="Verdana"/>
        <family val="2"/>
      </rPr>
      <t xml:space="preserve"> </t>
    </r>
    <r>
      <rPr>
        <sz val="9"/>
        <rFont val="돋움"/>
        <family val="3"/>
      </rPr>
      <t>합금</t>
    </r>
    <r>
      <rPr>
        <sz val="9"/>
        <rFont val="Verdana"/>
        <family val="2"/>
      </rPr>
      <t xml:space="preserve">, </t>
    </r>
    <r>
      <rPr>
        <sz val="9"/>
        <rFont val="돋움"/>
        <family val="3"/>
      </rPr>
      <t>인장강도</t>
    </r>
    <r>
      <rPr>
        <sz val="9"/>
        <rFont val="Verdana"/>
        <family val="2"/>
      </rPr>
      <t xml:space="preserve"> 90 Kg/mm2 </t>
    </r>
    <r>
      <rPr>
        <sz val="9"/>
        <rFont val="돋움"/>
        <family val="3"/>
      </rPr>
      <t>이하</t>
    </r>
  </si>
  <si>
    <r>
      <t>티타늄</t>
    </r>
    <r>
      <rPr>
        <sz val="9"/>
        <rFont val="Verdana"/>
        <family val="2"/>
      </rPr>
      <t xml:space="preserve"> </t>
    </r>
    <r>
      <rPr>
        <sz val="9"/>
        <rFont val="돋움"/>
        <family val="3"/>
      </rPr>
      <t>합금</t>
    </r>
    <r>
      <rPr>
        <sz val="9"/>
        <rFont val="Verdana"/>
        <family val="2"/>
      </rPr>
      <t xml:space="preserve">, </t>
    </r>
    <r>
      <rPr>
        <sz val="9"/>
        <rFont val="돋움"/>
        <family val="3"/>
      </rPr>
      <t>인장강도</t>
    </r>
    <r>
      <rPr>
        <sz val="9"/>
        <rFont val="Verdana"/>
        <family val="2"/>
      </rPr>
      <t xml:space="preserve"> 125 Kg/mm2 </t>
    </r>
    <r>
      <rPr>
        <sz val="9"/>
        <rFont val="돋움"/>
        <family val="3"/>
      </rPr>
      <t>이하</t>
    </r>
  </si>
  <si>
    <r>
      <t>순수</t>
    </r>
    <r>
      <rPr>
        <sz val="9"/>
        <rFont val="Verdana"/>
        <family val="2"/>
      </rPr>
      <t xml:space="preserve"> </t>
    </r>
    <r>
      <rPr>
        <sz val="9"/>
        <rFont val="돋움"/>
        <family val="3"/>
      </rPr>
      <t>니켈</t>
    </r>
    <r>
      <rPr>
        <sz val="9"/>
        <rFont val="Verdana"/>
        <family val="2"/>
      </rPr>
      <t xml:space="preserve">, </t>
    </r>
    <r>
      <rPr>
        <sz val="9"/>
        <rFont val="돋움"/>
        <family val="3"/>
      </rPr>
      <t>인장강도</t>
    </r>
    <r>
      <rPr>
        <sz val="9"/>
        <rFont val="Verdana"/>
        <family val="2"/>
      </rPr>
      <t xml:space="preserve"> 50 Kg/mm2 </t>
    </r>
    <r>
      <rPr>
        <sz val="9"/>
        <rFont val="돋움"/>
        <family val="3"/>
      </rPr>
      <t>이하</t>
    </r>
  </si>
  <si>
    <r>
      <t>니켈</t>
    </r>
    <r>
      <rPr>
        <sz val="9"/>
        <rFont val="Verdana"/>
        <family val="2"/>
      </rPr>
      <t xml:space="preserve"> </t>
    </r>
    <r>
      <rPr>
        <sz val="9"/>
        <rFont val="돋움"/>
        <family val="3"/>
      </rPr>
      <t>합금</t>
    </r>
    <r>
      <rPr>
        <sz val="9"/>
        <rFont val="Verdana"/>
        <family val="2"/>
      </rPr>
      <t xml:space="preserve">, </t>
    </r>
    <r>
      <rPr>
        <sz val="9"/>
        <rFont val="돋움"/>
        <family val="3"/>
      </rPr>
      <t>인장강도</t>
    </r>
    <r>
      <rPr>
        <sz val="9"/>
        <rFont val="Verdana"/>
        <family val="2"/>
      </rPr>
      <t xml:space="preserve"> 90 Kg/mm2 </t>
    </r>
    <r>
      <rPr>
        <sz val="9"/>
        <rFont val="돋움"/>
        <family val="3"/>
      </rPr>
      <t>이하</t>
    </r>
  </si>
  <si>
    <r>
      <t>니켈</t>
    </r>
    <r>
      <rPr>
        <sz val="9"/>
        <rFont val="Verdana"/>
        <family val="2"/>
      </rPr>
      <t xml:space="preserve"> </t>
    </r>
    <r>
      <rPr>
        <sz val="9"/>
        <rFont val="돋움"/>
        <family val="3"/>
      </rPr>
      <t>합금</t>
    </r>
    <r>
      <rPr>
        <sz val="9"/>
        <rFont val="Verdana"/>
        <family val="2"/>
      </rPr>
      <t xml:space="preserve">, </t>
    </r>
    <r>
      <rPr>
        <sz val="9"/>
        <rFont val="돋움"/>
        <family val="3"/>
      </rPr>
      <t>인장강도</t>
    </r>
    <r>
      <rPr>
        <sz val="9"/>
        <rFont val="Verdana"/>
        <family val="2"/>
      </rPr>
      <t xml:space="preserve"> 125 Kg/mm2 </t>
    </r>
    <r>
      <rPr>
        <sz val="9"/>
        <rFont val="돋움"/>
        <family val="3"/>
      </rPr>
      <t>이하</t>
    </r>
  </si>
  <si>
    <r>
      <t>순동</t>
    </r>
    <r>
      <rPr>
        <sz val="9"/>
        <rFont val="Verdana"/>
        <family val="2"/>
      </rPr>
      <t xml:space="preserve">, </t>
    </r>
    <r>
      <rPr>
        <sz val="9"/>
        <rFont val="돋움"/>
        <family val="3"/>
      </rPr>
      <t>인장강도</t>
    </r>
    <r>
      <rPr>
        <sz val="9"/>
        <rFont val="Verdana"/>
        <family val="2"/>
      </rPr>
      <t xml:space="preserve"> 35 Kg/mm2 </t>
    </r>
    <r>
      <rPr>
        <sz val="9"/>
        <rFont val="돋움"/>
        <family val="3"/>
      </rPr>
      <t>이하</t>
    </r>
  </si>
  <si>
    <r>
      <t>동</t>
    </r>
    <r>
      <rPr>
        <sz val="9"/>
        <rFont val="Verdana"/>
        <family val="2"/>
      </rPr>
      <t xml:space="preserve">, </t>
    </r>
    <r>
      <rPr>
        <sz val="9"/>
        <rFont val="돋움"/>
        <family val="3"/>
      </rPr>
      <t>황동</t>
    </r>
    <r>
      <rPr>
        <sz val="9"/>
        <rFont val="Verdana"/>
        <family val="2"/>
      </rPr>
      <t xml:space="preserve">, </t>
    </r>
    <r>
      <rPr>
        <sz val="9"/>
        <rFont val="돋움"/>
        <family val="3"/>
      </rPr>
      <t>청동</t>
    </r>
    <r>
      <rPr>
        <sz val="9"/>
        <rFont val="Verdana"/>
        <family val="2"/>
      </rPr>
      <t xml:space="preserve">, </t>
    </r>
    <r>
      <rPr>
        <sz val="9"/>
        <rFont val="돋움"/>
        <family val="3"/>
      </rPr>
      <t>인장강도</t>
    </r>
    <r>
      <rPr>
        <sz val="9"/>
        <rFont val="Verdana"/>
        <family val="2"/>
      </rPr>
      <t xml:space="preserve"> 70 Kg/mm2 </t>
    </r>
    <r>
      <rPr>
        <sz val="9"/>
        <rFont val="돋움"/>
        <family val="3"/>
      </rPr>
      <t>이하</t>
    </r>
  </si>
  <si>
    <r>
      <t>동</t>
    </r>
    <r>
      <rPr>
        <sz val="9"/>
        <rFont val="Verdana"/>
        <family val="2"/>
      </rPr>
      <t xml:space="preserve">, </t>
    </r>
    <r>
      <rPr>
        <sz val="9"/>
        <rFont val="돋움"/>
        <family val="3"/>
      </rPr>
      <t>고강도</t>
    </r>
    <r>
      <rPr>
        <sz val="9"/>
        <rFont val="Verdana"/>
        <family val="2"/>
      </rPr>
      <t xml:space="preserve"> </t>
    </r>
    <r>
      <rPr>
        <sz val="9"/>
        <rFont val="돋움"/>
        <family val="3"/>
      </rPr>
      <t>청동</t>
    </r>
    <r>
      <rPr>
        <sz val="9"/>
        <rFont val="Verdana"/>
        <family val="2"/>
      </rPr>
      <t xml:space="preserve">, </t>
    </r>
    <r>
      <rPr>
        <sz val="9"/>
        <rFont val="돋움"/>
        <family val="3"/>
      </rPr>
      <t>인장강도</t>
    </r>
    <r>
      <rPr>
        <sz val="9"/>
        <rFont val="Verdana"/>
        <family val="2"/>
      </rPr>
      <t xml:space="preserve"> 150 Kg/mm2 </t>
    </r>
    <r>
      <rPr>
        <sz val="9"/>
        <rFont val="돋움"/>
        <family val="3"/>
      </rPr>
      <t>이하</t>
    </r>
  </si>
  <si>
    <r>
      <t>순수</t>
    </r>
    <r>
      <rPr>
        <sz val="9"/>
        <rFont val="Verdana"/>
        <family val="2"/>
      </rPr>
      <t xml:space="preserve"> </t>
    </r>
    <r>
      <rPr>
        <sz val="9"/>
        <rFont val="돋움"/>
        <family val="3"/>
      </rPr>
      <t>알루미늄</t>
    </r>
  </si>
  <si>
    <t>Wprowadź średnice freza w pole 5,  w polu 6 długość krawędzi roboczej płytki a w 7-mym ilość płytek(ostrzy).Jeżeli jest taka potrzeba program wyliczy pełną droge narzędzia w zależnosci od ilosci jego skoków</t>
  </si>
  <si>
    <t>Gwinty stożkowe</t>
  </si>
  <si>
    <t xml:space="preserve">Srednica freza jest podana na całym ostatnim zwoju bliska trzonko.Dlatego należy wprowadzić do programu srednicę gwintu  która  dotyczy tej części freza </t>
  </si>
  <si>
    <t>powrót</t>
  </si>
  <si>
    <r>
      <t>주철</t>
    </r>
    <r>
      <rPr>
        <sz val="9"/>
        <rFont val="Verdana"/>
        <family val="2"/>
      </rPr>
      <t xml:space="preserve">, </t>
    </r>
    <r>
      <rPr>
        <sz val="9"/>
        <rFont val="돋움"/>
        <family val="3"/>
      </rPr>
      <t>인장강도</t>
    </r>
    <r>
      <rPr>
        <sz val="9"/>
        <rFont val="Verdana"/>
        <family val="2"/>
      </rPr>
      <t xml:space="preserve"> 50 Kg/mm2 </t>
    </r>
    <r>
      <rPr>
        <sz val="9"/>
        <rFont val="돋움"/>
        <family val="3"/>
      </rPr>
      <t>이하</t>
    </r>
  </si>
  <si>
    <t>Le programme produira automatiquement une spirale dès le débût jusqu'à ce que le filetage soit terminé quand vous choisissez une fraise type NM avec un ou deux dents. Si vous voulez faire la même chose avec un outil différent, vous devez alors enregistrer le pas en tant que longueur de coupe dans la plage 6.</t>
  </si>
  <si>
    <t>Fraise à fileter à petit diamètre</t>
  </si>
  <si>
    <t>Enregistrez le diamètre de la fraise dans la plage 5, renseignez dans la plage 6 la longueur de l’insert et dans la plage 7 le nombre d’inserts. Si besoin, le programme produira automatiquement la longueur totale après plusieurs passages.</t>
  </si>
  <si>
    <t>Filetage conique</t>
  </si>
  <si>
    <t>W tym programie zmiana połozenia narzędzi jest możliwa jedynie w wypadku rekompensowania małych wartości. Takie podejscie eliminuje problemy mogące się pojawić gdy ktoś stosuje kompensacje promienia o dużej wartości.Dlatego prosimy wybrać wielkości bliskie zera dla średnic  frezów w biblitece systemu kontrolnego</t>
  </si>
  <si>
    <t>Les conditions de coupe mentionnées sont seulement des préconisations. Il y a beaucoup de paramètres qui peuvent avoir une influence donc il est nécessaire de faire des ajustements, par exemple : stabilité de la machine, équipement de l'outillage…. Smicut ne pourra être tenu responsable pour les dommages éventuels qui peuvent survenir lors de l'utilisation du programme CNC ou des conditions de coupe recommandées par le logiciel.</t>
  </si>
  <si>
    <t>Comment utiliser le programme</t>
  </si>
  <si>
    <t xml:space="preserve">Ilość skoków(przejść), katowo (max 3) </t>
  </si>
  <si>
    <t>Ilość skoków(przejść) , osiowo</t>
  </si>
  <si>
    <t>N= obroty wrzeciona (obr/min)</t>
  </si>
  <si>
    <t>FD=posów w średnicy gwintu (mm/min)</t>
  </si>
  <si>
    <t>Fd=posów w osi gwintu (mm/min)</t>
  </si>
  <si>
    <t>T=Czas potrzebny do wyfrezowania gwintu (sekundy)</t>
  </si>
  <si>
    <t xml:space="preserve"> Program CNC dla Fanuca</t>
  </si>
  <si>
    <t xml:space="preserve"> Program CNC dla Siemensa</t>
  </si>
  <si>
    <t xml:space="preserve"> Program CNC dla Num</t>
  </si>
  <si>
    <t>Wymienione warunki skrawania są tylko propozycją do zastosowania  wartości początkowych.Jest wiele czynników mogących wpłynąć na proces więc dodatkowe ustawienie maszyny jest konieczne.SmiCut nie odpowiada za ewentualne uszkodzenia wynikłe  przy stosowaniu Programu CNC lub danych rekomendowanych przez program</t>
  </si>
  <si>
    <t>Jak używać programu</t>
  </si>
  <si>
    <t>Si vous utilisez un outil qui ne se trouve pas dans la liste, vous pouvez saisir le diamètre de la fraise, la longueur de coupe et le nombre de dents dans les plages 5-7.</t>
  </si>
  <si>
    <t>Fraises à fileter avec une ou 2 dents par goujure</t>
  </si>
  <si>
    <t>Acier inoxydable,ferretique et austenique</t>
  </si>
  <si>
    <t>Titanium, pur</t>
  </si>
  <si>
    <t>Titanium allié, &lt; 900 N/mm2</t>
  </si>
  <si>
    <t>Titanium, allié, &lt; 1250 N/mm2</t>
  </si>
  <si>
    <t>Acier refractaire, Nickel pur &lt; 500 N/mm2</t>
  </si>
  <si>
    <t>Acier refractaire, Nickel Chrome allié &lt; 900 N/mm2</t>
  </si>
  <si>
    <r>
      <t>鈦合金</t>
    </r>
    <r>
      <rPr>
        <sz val="9"/>
        <rFont val="Verdana"/>
        <family val="2"/>
      </rPr>
      <t>, &lt; 1250 N/mm2</t>
    </r>
  </si>
  <si>
    <r>
      <t>純鎳</t>
    </r>
    <r>
      <rPr>
        <sz val="9"/>
        <rFont val="Verdana"/>
        <family val="2"/>
      </rPr>
      <t>, &lt; 500 N/mm2</t>
    </r>
  </si>
  <si>
    <r>
      <t>鎳合金</t>
    </r>
    <r>
      <rPr>
        <sz val="9"/>
        <rFont val="Verdana"/>
        <family val="2"/>
      </rPr>
      <t>, &lt; 900 N/mm2</t>
    </r>
  </si>
  <si>
    <r>
      <t>鎳合金</t>
    </r>
    <r>
      <rPr>
        <sz val="9"/>
        <rFont val="Verdana"/>
        <family val="2"/>
      </rPr>
      <t>, &lt; 1250 N/mm2</t>
    </r>
  </si>
  <si>
    <t>灰口鑄鐵, &lt; 1000 N/mm2</t>
  </si>
  <si>
    <t>Le programme produira automatiquement le filetage en plusieurs étapes si la fraise à fileter a une longueur utile plus petite que la longueur demandée.</t>
  </si>
  <si>
    <t>Fraise à fileter à inserts indexables</t>
  </si>
  <si>
    <t>Acier refractaire, Nickel Chrome allié &lt; 1200 N/mm2</t>
  </si>
  <si>
    <t>Narzędzia Niewymienione lub Specjalne</t>
  </si>
  <si>
    <t>Le diamètre de pas a été mesuré par voie optique sur les fraises à fileter de SmiCut et le diamètre externe théorique est gravé au laser sur chaque fraise. Ces mesures doivent être renseignées dans la plage à côté du diamètre de la fraise (plage 5). Vous allez très probablement obtenir un filetage correct dès le début. Au cas ou un ajustement s'avèrerait nécessaire, vous pouvez le faire dans la même plage ou dans la librairie d'outillage du système de contrôle.</t>
  </si>
  <si>
    <t>Outils non repertoriés ou spéciaux</t>
  </si>
  <si>
    <t>acier, faible taux de carbone, &lt; 0,25% C, &lt; 400 N/mm2</t>
  </si>
  <si>
    <t>acier, faible taux de carbone, &lt; 0,55% C, &lt; 700 N/mm2</t>
  </si>
  <si>
    <t>acier, taux de carbone élévé, &lt; 0,85% C, &lt; 850 N/mm2</t>
  </si>
  <si>
    <t>acier, faible alliage, &lt; 850 N/mm2</t>
  </si>
  <si>
    <t>acier, alliage elevé, &lt; 1200 N/mm2</t>
  </si>
  <si>
    <t>acier, trempé, &lt; 45 HRC</t>
  </si>
  <si>
    <t>acier, trempé, &lt; 55 HRC</t>
  </si>
  <si>
    <t>acier, trempé, &lt; 65 HRC</t>
  </si>
  <si>
    <t>Fonte d'acier, Lamellar Graphite, &lt; 500 N/mm2</t>
  </si>
  <si>
    <t>Korygowanie średnicy gwintu</t>
  </si>
  <si>
    <t>Le diamètre de la fraise est au dessus du dernier filetage le plus près de la queue. Il est donc nécessaire d'enregister le diamètre de filetage là où cette partie de la fraise travaille.</t>
  </si>
  <si>
    <t>Retour</t>
  </si>
  <si>
    <t>Wewntrzne frezowanie gwintów na centra obróbcze</t>
  </si>
  <si>
    <t xml:space="preserve">Wewntrzne frezowanie gwintów na tokarkach </t>
  </si>
  <si>
    <t>Stal, niskowęglowa, &lt; 0,25% C, &lt; 400 N/mm2</t>
  </si>
  <si>
    <t>Stal ,średniowęglowa, &lt; 0,55% C, &lt; 700 N/mm2</t>
  </si>
  <si>
    <t>Stal, wysokowęglowa, &lt; 0,85% C, &lt; 850 N/mm2</t>
  </si>
  <si>
    <r>
      <t>高張力鎳合金，如</t>
    </r>
    <r>
      <rPr>
        <sz val="9"/>
        <rFont val="Verdana"/>
        <family val="2"/>
      </rPr>
      <t>Inconel 718</t>
    </r>
  </si>
  <si>
    <t>石墨</t>
  </si>
  <si>
    <r>
      <t xml:space="preserve">D = </t>
    </r>
    <r>
      <rPr>
        <sz val="9"/>
        <rFont val="細明體"/>
        <family val="3"/>
      </rPr>
      <t>銑牙外徑</t>
    </r>
    <r>
      <rPr>
        <sz val="9"/>
        <rFont val="Verdana"/>
        <family val="2"/>
      </rPr>
      <t xml:space="preserve"> (mm)</t>
    </r>
  </si>
  <si>
    <r>
      <t xml:space="preserve">P = </t>
    </r>
    <r>
      <rPr>
        <sz val="9"/>
        <rFont val="細明體"/>
        <family val="3"/>
      </rPr>
      <t>牙距</t>
    </r>
    <r>
      <rPr>
        <sz val="9"/>
        <rFont val="Verdana"/>
        <family val="2"/>
      </rPr>
      <t xml:space="preserve"> (mm)</t>
    </r>
  </si>
  <si>
    <r>
      <t xml:space="preserve">P = </t>
    </r>
    <r>
      <rPr>
        <sz val="9"/>
        <rFont val="細明體"/>
        <family val="3"/>
      </rPr>
      <t>每英吋牙數</t>
    </r>
    <r>
      <rPr>
        <sz val="9"/>
        <rFont val="Verdana"/>
        <family val="2"/>
      </rPr>
      <t xml:space="preserve"> (TPI)</t>
    </r>
  </si>
  <si>
    <r>
      <t xml:space="preserve">Fd = </t>
    </r>
    <r>
      <rPr>
        <sz val="9"/>
        <rFont val="細明體"/>
        <family val="3"/>
      </rPr>
      <t>中心銑牙進給</t>
    </r>
    <r>
      <rPr>
        <sz val="9"/>
        <rFont val="Verdana"/>
        <family val="2"/>
      </rPr>
      <t xml:space="preserve"> (mm/min)</t>
    </r>
  </si>
  <si>
    <t>Aluminium ,Niestopowe</t>
  </si>
  <si>
    <t>Aluminium ,Stopowe, &lt; 0.5% Si</t>
  </si>
  <si>
    <t>Aluminium ,Stopowe, &lt; 10% Si</t>
  </si>
  <si>
    <t>Aluminium ,Stopowe, &gt; 10% Si</t>
  </si>
  <si>
    <t>D=Średnica gwintu</t>
  </si>
  <si>
    <t>P= skok(mm)</t>
  </si>
  <si>
    <t>P= skok(TPI)</t>
  </si>
  <si>
    <t>L= Długość gwintu (mm)</t>
  </si>
  <si>
    <t>Choisissez d'abord la langue en bas à droite, faîtes votre choix dans le menu déroulant puis remplissez les quatre premières plages. En saisissant un minimum d'informations, le programme vous présente une gamme de fraises préconisées. Après avoir choisi une des fraises, les informations concernant la fraise, les conditions de coupe préconisées et le temps nécessaire à la production du filetage s'affichent. Le programme CNC complet s'affiche également. Le programme CNC peut être copié et transféré dans votre dossier CNC. Les 6 plages restantes seront à compléter uniquement si vous n'acceptez pas les recommandations.</t>
  </si>
  <si>
    <t>Rectification de l'outillage</t>
  </si>
  <si>
    <t xml:space="preserve"> Program CNC dla Fagora</t>
  </si>
  <si>
    <t xml:space="preserve"> Program CNC dla Mazaka</t>
  </si>
  <si>
    <t xml:space="preserve"> Program CNC dla Mitsubishi</t>
  </si>
  <si>
    <t>Proszę przeczytać przed urzyciem!</t>
  </si>
  <si>
    <t>Ostrzeżenie!</t>
  </si>
  <si>
    <t>Dans ce programme,  la rectification de l'outillage est uniquement utilisée pour des faibles ajustements. Cela élimine les problèmes qui peuvent apparaître lorsque l'on rectifie le rayon par petit mouvements. Choisissez donc  une valeur proche de zéro pour le diamètre de coupe dans la librairie du système de contrôle.</t>
  </si>
  <si>
    <t>Un diamètre de filetage correct dès le début</t>
  </si>
  <si>
    <r>
      <t>不鏽鋼</t>
    </r>
    <r>
      <rPr>
        <sz val="9"/>
        <rFont val="Verdana"/>
        <family val="2"/>
      </rPr>
      <t>, Austenitic</t>
    </r>
    <r>
      <rPr>
        <sz val="9"/>
        <rFont val="細明體"/>
        <family val="3"/>
      </rPr>
      <t>系列，如</t>
    </r>
    <r>
      <rPr>
        <sz val="9"/>
        <rFont val="Verdana"/>
        <family val="2"/>
      </rPr>
      <t>SUS304/SUS316</t>
    </r>
  </si>
  <si>
    <t>Fonte d'acier, Nodular Grap., malleable, &lt; 1000 N/mm2</t>
  </si>
  <si>
    <t xml:space="preserve">Acier inoxydable, </t>
  </si>
  <si>
    <t>Acier inoxydable, austenique</t>
  </si>
  <si>
    <t>T= temps nécessaire pour fraiser le filetage (seconds)</t>
  </si>
  <si>
    <t>CNC programme pour Fanuc</t>
  </si>
  <si>
    <t>CNC programme pour Siemens</t>
  </si>
  <si>
    <r>
      <t>純銅</t>
    </r>
    <r>
      <rPr>
        <sz val="9"/>
        <rFont val="Verdana"/>
        <family val="2"/>
      </rPr>
      <t>, &lt; 350 N/mm2</t>
    </r>
  </si>
  <si>
    <t>程式會提示銑牙刀基本數據</t>
  </si>
  <si>
    <r>
      <t>銅</t>
    </r>
    <r>
      <rPr>
        <sz val="9"/>
        <rFont val="Verdana"/>
        <family val="2"/>
      </rPr>
      <t xml:space="preserve">, </t>
    </r>
    <r>
      <rPr>
        <sz val="9"/>
        <rFont val="細明體"/>
        <family val="3"/>
      </rPr>
      <t>黃銅</t>
    </r>
    <r>
      <rPr>
        <sz val="9"/>
        <rFont val="Verdana"/>
        <family val="2"/>
      </rPr>
      <t xml:space="preserve">, </t>
    </r>
    <r>
      <rPr>
        <sz val="9"/>
        <rFont val="細明體"/>
        <family val="3"/>
      </rPr>
      <t>青銅</t>
    </r>
    <r>
      <rPr>
        <sz val="9"/>
        <rFont val="Verdana"/>
        <family val="2"/>
      </rPr>
      <t>, &lt; 700 N/mm2</t>
    </r>
  </si>
  <si>
    <r>
      <t>銅</t>
    </r>
    <r>
      <rPr>
        <sz val="9"/>
        <rFont val="Verdana"/>
        <family val="2"/>
      </rPr>
      <t xml:space="preserve">, </t>
    </r>
    <r>
      <rPr>
        <sz val="9"/>
        <rFont val="細明體"/>
        <family val="3"/>
      </rPr>
      <t>高張力青銅</t>
    </r>
    <r>
      <rPr>
        <sz val="9"/>
        <rFont val="Verdana"/>
        <family val="2"/>
      </rPr>
      <t>, &lt; 1500 N/mm2</t>
    </r>
  </si>
  <si>
    <t>純鋁</t>
  </si>
  <si>
    <r>
      <t>鋁合金</t>
    </r>
    <r>
      <rPr>
        <sz val="9"/>
        <rFont val="Verdana"/>
        <family val="2"/>
      </rPr>
      <t xml:space="preserve">, &lt; 0.5% </t>
    </r>
    <r>
      <rPr>
        <sz val="9"/>
        <rFont val="細明體"/>
        <family val="3"/>
      </rPr>
      <t>矽</t>
    </r>
  </si>
  <si>
    <t>Fonte d'acier, Lamellar Graphite, &lt;1000 N/mm2</t>
  </si>
  <si>
    <r>
      <t xml:space="preserve">Mitsubishi </t>
    </r>
    <r>
      <rPr>
        <sz val="9"/>
        <rFont val="細明體"/>
        <family val="3"/>
      </rPr>
      <t>之</t>
    </r>
    <r>
      <rPr>
        <sz val="9"/>
        <rFont val="Verdana"/>
        <family val="2"/>
      </rPr>
      <t xml:space="preserve">CNC </t>
    </r>
    <r>
      <rPr>
        <sz val="9"/>
        <rFont val="細明體"/>
        <family val="3"/>
      </rPr>
      <t>銑牙程式</t>
    </r>
  </si>
  <si>
    <t>使用前請先閱讀</t>
  </si>
  <si>
    <t>使用車床銑內牙</t>
  </si>
  <si>
    <r>
      <t>公制牙</t>
    </r>
    <r>
      <rPr>
        <sz val="9"/>
        <rFont val="Verdana"/>
        <family val="2"/>
      </rPr>
      <t>-M</t>
    </r>
  </si>
  <si>
    <r>
      <t>美制牙</t>
    </r>
    <r>
      <rPr>
        <sz val="9"/>
        <rFont val="Verdana"/>
        <family val="2"/>
      </rPr>
      <t>-UN</t>
    </r>
  </si>
  <si>
    <t>Filetage interne par interpolation sur CNC fraiseuse</t>
  </si>
  <si>
    <t>Filetage interne par interpolation sur CNC tour</t>
  </si>
  <si>
    <t>M</t>
  </si>
  <si>
    <t>UN</t>
  </si>
  <si>
    <t xml:space="preserve">G  </t>
  </si>
  <si>
    <t>BSPT</t>
  </si>
  <si>
    <t>NPT</t>
  </si>
  <si>
    <t>NPSF</t>
  </si>
  <si>
    <r>
      <t>英制直管牙</t>
    </r>
    <r>
      <rPr>
        <sz val="9"/>
        <rFont val="Verdana"/>
        <family val="2"/>
      </rPr>
      <t>-G</t>
    </r>
  </si>
  <si>
    <r>
      <t>硬化合金鋼</t>
    </r>
    <r>
      <rPr>
        <sz val="9"/>
        <rFont val="Verdana"/>
        <family val="2"/>
      </rPr>
      <t>, &lt; 55 HRC</t>
    </r>
  </si>
  <si>
    <r>
      <t>鋁合金</t>
    </r>
    <r>
      <rPr>
        <sz val="9"/>
        <rFont val="Verdana"/>
        <family val="2"/>
      </rPr>
      <t xml:space="preserve">, &lt; 10% </t>
    </r>
    <r>
      <rPr>
        <sz val="9"/>
        <rFont val="細明體"/>
        <family val="3"/>
      </rPr>
      <t>矽</t>
    </r>
  </si>
  <si>
    <r>
      <t>鋁合金</t>
    </r>
    <r>
      <rPr>
        <sz val="9"/>
        <rFont val="Verdana"/>
        <family val="2"/>
      </rPr>
      <t xml:space="preserve">, &gt; 10% </t>
    </r>
    <r>
      <rPr>
        <sz val="9"/>
        <rFont val="細明體"/>
        <family val="3"/>
      </rPr>
      <t>矽</t>
    </r>
  </si>
  <si>
    <t>Jos valitset vakiotyökalun yhdellä tai kahdella hampaalla,tyyppi NM,valitsee ohjelma autommaattisesti kierron joka valmistaa kierteen.</t>
  </si>
  <si>
    <r>
      <t>硬化合金鋼</t>
    </r>
    <r>
      <rPr>
        <sz val="9"/>
        <rFont val="Verdana"/>
        <family val="2"/>
      </rPr>
      <t>, &lt; 65 HRC</t>
    </r>
  </si>
  <si>
    <r>
      <t>灰口鑄鐵</t>
    </r>
    <r>
      <rPr>
        <sz val="9"/>
        <rFont val="Verdana"/>
        <family val="2"/>
      </rPr>
      <t>, &lt; 500 N/mm2</t>
    </r>
  </si>
  <si>
    <r>
      <t>球狀石墨鑄鐵</t>
    </r>
    <r>
      <rPr>
        <sz val="9"/>
        <rFont val="Verdana"/>
        <family val="2"/>
      </rPr>
      <t xml:space="preserve">, </t>
    </r>
    <r>
      <rPr>
        <sz val="9"/>
        <rFont val="細明體"/>
        <family val="3"/>
      </rPr>
      <t>可鍛鑄鐵</t>
    </r>
    <r>
      <rPr>
        <sz val="9"/>
        <rFont val="Verdana"/>
        <family val="2"/>
      </rPr>
      <t>, &lt; 700 N/mm2</t>
    </r>
  </si>
  <si>
    <r>
      <t>球狀石墨鑄鐵</t>
    </r>
    <r>
      <rPr>
        <sz val="9"/>
        <rFont val="Verdana"/>
        <family val="2"/>
      </rPr>
      <t xml:space="preserve">, </t>
    </r>
    <r>
      <rPr>
        <sz val="9"/>
        <rFont val="細明體"/>
        <family val="3"/>
      </rPr>
      <t>可鍛鑄鐵</t>
    </r>
    <r>
      <rPr>
        <sz val="9"/>
        <rFont val="Verdana"/>
        <family val="2"/>
      </rPr>
      <t>, &lt; 1000 N/mm2</t>
    </r>
  </si>
  <si>
    <t>Программа автоматически делает спираль от начала до конца резьбы, если выбирать стандартный тип резка NM с одной или двумя зубцами. Если вы хотите делать то же самое с другим инструментом, вам нужно зарегистрировать шаг как длину режущего края в квадрате 6.</t>
  </si>
  <si>
    <t>Резьбовые фрезы с маленькой шейкой</t>
  </si>
  <si>
    <t>Cuivre, Bronze trempé, &lt; 1500 N/mm2</t>
  </si>
  <si>
    <t>Alluminium, non allié</t>
  </si>
  <si>
    <t>Alluminium, allié, &lt; 0,5% Si</t>
  </si>
  <si>
    <t>Alluminium, allié, &lt; 10% Si</t>
  </si>
  <si>
    <t>D= diamètre de taraudage (mm)</t>
  </si>
  <si>
    <t>P= pas (mm)</t>
  </si>
  <si>
    <t>P= pas (TPI)</t>
  </si>
  <si>
    <t>V= vitesse de coupe (m/min)</t>
  </si>
  <si>
    <t>Fz = avance /dent (mm/dent)</t>
  </si>
  <si>
    <t>Nombre de passages, radial (max 3)</t>
  </si>
  <si>
    <t>Nombre de passages, axial</t>
  </si>
  <si>
    <t>N = vitesse de broche (rpm)</t>
  </si>
  <si>
    <t>FD= avance au diamètre de filetage</t>
  </si>
  <si>
    <t>Диаметр резака больше последней полной ближайшей к валу резьбы. Поэтому необходимо зарегистрировать диаметр резьбы в том месте, где эта часть фрезы работает.</t>
  </si>
  <si>
    <t>назад</t>
  </si>
  <si>
    <t>中文繁體 (kinesiska, traditionell)</t>
  </si>
  <si>
    <t>Diametrul de taiere este mai mare decit ultimul filet complet de linga ax (corp). De aceea trebuie notat diametrul de taiere acolo unde aceasta parte a frezei lucreaza .</t>
  </si>
  <si>
    <t>inapoi</t>
  </si>
  <si>
    <t>sisäpuolinen kierrejyrsintä työstökeskuksessa</t>
  </si>
  <si>
    <t>sisäpuolinen kierrejyrsintä sorvissa pyörivillä työkaluilla</t>
  </si>
  <si>
    <t>Alumiini, ei seostettu</t>
  </si>
  <si>
    <t>Cuivre, pur, &lt; 350 N/mm2</t>
  </si>
  <si>
    <t>Cuivre, Laiton, Bronze, &lt; 700 N/mm2</t>
  </si>
  <si>
    <t>Fd= avance au centre de la fraise (mm/min)</t>
  </si>
  <si>
    <t>Правильный диаметр резьбы сразу же</t>
  </si>
  <si>
    <t>Inconelli 718</t>
  </si>
  <si>
    <t>Grafiitti</t>
  </si>
  <si>
    <t>CNC programme pour Num</t>
  </si>
  <si>
    <t>CNC programme pour Fagor</t>
  </si>
  <si>
    <t>CNC programme pour Mazak</t>
  </si>
  <si>
    <t>CNC programme pour Mitsubishi</t>
  </si>
  <si>
    <t>Merci de lire avant utilisation !</t>
  </si>
  <si>
    <t>Attention !</t>
  </si>
  <si>
    <t>較小的銑牙刀刃徑</t>
  </si>
  <si>
    <t>錐度銑牙</t>
  </si>
  <si>
    <t>Компенсация инструментальной оснастки</t>
  </si>
  <si>
    <r>
      <t>銑牙次數</t>
    </r>
    <r>
      <rPr>
        <sz val="9"/>
        <rFont val="Verdana"/>
        <family val="2"/>
      </rPr>
      <t xml:space="preserve">, </t>
    </r>
    <r>
      <rPr>
        <sz val="9"/>
        <rFont val="細明體"/>
        <family val="3"/>
      </rPr>
      <t>軸向</t>
    </r>
  </si>
  <si>
    <r>
      <t xml:space="preserve">N = </t>
    </r>
    <r>
      <rPr>
        <sz val="9"/>
        <rFont val="細明體"/>
        <family val="3"/>
      </rPr>
      <t>轉速</t>
    </r>
    <r>
      <rPr>
        <sz val="9"/>
        <rFont val="Verdana"/>
        <family val="2"/>
      </rPr>
      <t xml:space="preserve"> (rpm)</t>
    </r>
  </si>
  <si>
    <r>
      <t xml:space="preserve">FD = </t>
    </r>
    <r>
      <rPr>
        <sz val="9"/>
        <rFont val="細明體"/>
        <family val="3"/>
      </rPr>
      <t>牙徑進給</t>
    </r>
    <r>
      <rPr>
        <sz val="9"/>
        <rFont val="Verdana"/>
        <family val="2"/>
      </rPr>
      <t xml:space="preserve"> (mm/min)</t>
    </r>
  </si>
  <si>
    <r>
      <t>警告</t>
    </r>
    <r>
      <rPr>
        <sz val="10"/>
        <rFont val="Verdana"/>
        <family val="0"/>
      </rPr>
      <t>!</t>
    </r>
  </si>
  <si>
    <t>如何使用本程式</t>
  </si>
  <si>
    <t>修整切削</t>
  </si>
  <si>
    <t>即刻校正銑牙刀刃徑</t>
  </si>
  <si>
    <t>非程式選用刀具及特殊加工</t>
  </si>
  <si>
    <r>
      <t>使用</t>
    </r>
    <r>
      <rPr>
        <sz val="9"/>
        <rFont val="Verdana"/>
        <family val="2"/>
      </rPr>
      <t xml:space="preserve"> CNC </t>
    </r>
    <r>
      <rPr>
        <sz val="9"/>
        <rFont val="細明體"/>
        <family val="3"/>
      </rPr>
      <t>銑床銑內牙</t>
    </r>
  </si>
  <si>
    <t>Fonte d'acier, Nodular Grap., malleable, &lt; 700 N/mm2</t>
  </si>
  <si>
    <t>Как пользоваться программой</t>
  </si>
  <si>
    <r>
      <t xml:space="preserve">L = </t>
    </r>
    <r>
      <rPr>
        <sz val="9"/>
        <rFont val="細明體"/>
        <family val="3"/>
      </rPr>
      <t>銑牙深度</t>
    </r>
    <r>
      <rPr>
        <sz val="9"/>
        <rFont val="Verdana"/>
        <family val="2"/>
      </rPr>
      <t xml:space="preserve"> (mm)</t>
    </r>
  </si>
  <si>
    <r>
      <t xml:space="preserve">S = </t>
    </r>
    <r>
      <rPr>
        <sz val="9"/>
        <rFont val="細明體"/>
        <family val="3"/>
      </rPr>
      <t>安全距離</t>
    </r>
    <r>
      <rPr>
        <sz val="9"/>
        <rFont val="Verdana"/>
        <family val="2"/>
      </rPr>
      <t xml:space="preserve"> (mm)</t>
    </r>
  </si>
  <si>
    <r>
      <t xml:space="preserve">d = </t>
    </r>
    <r>
      <rPr>
        <sz val="9"/>
        <rFont val="細明體"/>
        <family val="3"/>
      </rPr>
      <t>銑牙刀刃外徑</t>
    </r>
    <r>
      <rPr>
        <sz val="9"/>
        <rFont val="Verdana"/>
        <family val="2"/>
      </rPr>
      <t xml:space="preserve"> (mm)</t>
    </r>
  </si>
  <si>
    <r>
      <t xml:space="preserve">l = </t>
    </r>
    <r>
      <rPr>
        <sz val="9"/>
        <rFont val="細明體"/>
        <family val="3"/>
      </rPr>
      <t>銑牙刀刃長度</t>
    </r>
    <r>
      <rPr>
        <sz val="9"/>
        <rFont val="Verdana"/>
        <family val="2"/>
      </rPr>
      <t xml:space="preserve"> (mm)</t>
    </r>
  </si>
  <si>
    <r>
      <t xml:space="preserve">z = </t>
    </r>
    <r>
      <rPr>
        <sz val="9"/>
        <rFont val="細明體"/>
        <family val="3"/>
      </rPr>
      <t>銑牙刀刃數</t>
    </r>
  </si>
  <si>
    <r>
      <t xml:space="preserve">V = </t>
    </r>
    <r>
      <rPr>
        <sz val="9"/>
        <rFont val="細明體"/>
        <family val="3"/>
      </rPr>
      <t>切削速度</t>
    </r>
    <r>
      <rPr>
        <sz val="9"/>
        <rFont val="Verdana"/>
        <family val="2"/>
      </rPr>
      <t xml:space="preserve"> (m/min)</t>
    </r>
  </si>
  <si>
    <r>
      <t xml:space="preserve">Fz = </t>
    </r>
    <r>
      <rPr>
        <sz val="9"/>
        <rFont val="細明體"/>
        <family val="3"/>
      </rPr>
      <t>每牙進給量</t>
    </r>
    <r>
      <rPr>
        <sz val="9"/>
        <rFont val="Verdana"/>
        <family val="2"/>
      </rPr>
      <t xml:space="preserve"> (mm/tooth)</t>
    </r>
  </si>
  <si>
    <r>
      <t>銑牙次數</t>
    </r>
    <r>
      <rPr>
        <sz val="9"/>
        <rFont val="Verdana"/>
        <family val="2"/>
      </rPr>
      <t xml:space="preserve">, </t>
    </r>
    <r>
      <rPr>
        <sz val="9"/>
        <rFont val="細明體"/>
        <family val="3"/>
      </rPr>
      <t>徑向</t>
    </r>
    <r>
      <rPr>
        <sz val="9"/>
        <rFont val="Verdana"/>
        <family val="2"/>
      </rPr>
      <t xml:space="preserve"> (max 3)</t>
    </r>
  </si>
  <si>
    <r>
      <t>T =</t>
    </r>
    <r>
      <rPr>
        <sz val="9"/>
        <rFont val="細明體"/>
        <family val="3"/>
      </rPr>
      <t>完成銑牙時間</t>
    </r>
    <r>
      <rPr>
        <sz val="9"/>
        <rFont val="Verdana"/>
        <family val="2"/>
      </rPr>
      <t xml:space="preserve"> (seconds)</t>
    </r>
  </si>
  <si>
    <r>
      <t xml:space="preserve">Fanuc </t>
    </r>
    <r>
      <rPr>
        <sz val="9"/>
        <rFont val="細明體"/>
        <family val="3"/>
      </rPr>
      <t>之</t>
    </r>
    <r>
      <rPr>
        <sz val="9"/>
        <rFont val="Verdana"/>
        <family val="2"/>
      </rPr>
      <t xml:space="preserve">CNC </t>
    </r>
    <r>
      <rPr>
        <sz val="9"/>
        <rFont val="細明體"/>
        <family val="3"/>
      </rPr>
      <t>銑牙程式</t>
    </r>
  </si>
  <si>
    <r>
      <t xml:space="preserve">Heidenhein </t>
    </r>
    <r>
      <rPr>
        <sz val="9"/>
        <rFont val="細明體"/>
        <family val="3"/>
      </rPr>
      <t>之</t>
    </r>
    <r>
      <rPr>
        <sz val="9"/>
        <rFont val="Verdana"/>
        <family val="2"/>
      </rPr>
      <t xml:space="preserve">CNC </t>
    </r>
    <r>
      <rPr>
        <sz val="9"/>
        <rFont val="細明體"/>
        <family val="3"/>
      </rPr>
      <t>銑牙程式</t>
    </r>
  </si>
  <si>
    <r>
      <t xml:space="preserve">Siemens </t>
    </r>
    <r>
      <rPr>
        <sz val="9"/>
        <rFont val="細明體"/>
        <family val="3"/>
      </rPr>
      <t>之</t>
    </r>
    <r>
      <rPr>
        <sz val="9"/>
        <rFont val="Verdana"/>
        <family val="2"/>
      </rPr>
      <t xml:space="preserve">CNC </t>
    </r>
    <r>
      <rPr>
        <sz val="9"/>
        <rFont val="細明體"/>
        <family val="3"/>
      </rPr>
      <t>銑牙程式</t>
    </r>
  </si>
  <si>
    <r>
      <t xml:space="preserve">Num </t>
    </r>
    <r>
      <rPr>
        <sz val="9"/>
        <rFont val="細明體"/>
        <family val="3"/>
      </rPr>
      <t>之</t>
    </r>
    <r>
      <rPr>
        <sz val="9"/>
        <rFont val="Verdana"/>
        <family val="2"/>
      </rPr>
      <t xml:space="preserve">CNC </t>
    </r>
    <r>
      <rPr>
        <sz val="9"/>
        <rFont val="細明體"/>
        <family val="3"/>
      </rPr>
      <t>銑牙程式</t>
    </r>
  </si>
  <si>
    <r>
      <t xml:space="preserve">Fagor </t>
    </r>
    <r>
      <rPr>
        <sz val="9"/>
        <rFont val="細明體"/>
        <family val="3"/>
      </rPr>
      <t>之</t>
    </r>
    <r>
      <rPr>
        <sz val="9"/>
        <rFont val="Verdana"/>
        <family val="2"/>
      </rPr>
      <t xml:space="preserve">CNC </t>
    </r>
    <r>
      <rPr>
        <sz val="9"/>
        <rFont val="細明體"/>
        <family val="3"/>
      </rPr>
      <t>銑牙程式</t>
    </r>
  </si>
  <si>
    <r>
      <t xml:space="preserve">Mazak </t>
    </r>
    <r>
      <rPr>
        <sz val="9"/>
        <rFont val="細明體"/>
        <family val="3"/>
      </rPr>
      <t>之</t>
    </r>
    <r>
      <rPr>
        <sz val="9"/>
        <rFont val="Verdana"/>
        <family val="2"/>
      </rPr>
      <t xml:space="preserve">CNC </t>
    </r>
    <r>
      <rPr>
        <sz val="9"/>
        <rFont val="細明體"/>
        <family val="3"/>
      </rPr>
      <t>銑牙程式</t>
    </r>
  </si>
  <si>
    <t>Диаметр шага измерен оптически на резьбовых фрезах SmiCut и теоретический внешний диаметр был индивидуально нанесен лазером на каждый резак. Измерение будет отмечено в квадрате рядом с диаметром резака (квадрат 5). С большой вероятностью вы сразу же получите правильную резьбу. В случае, если вам нужно внести изменения, вы можете сделать это прямо в том же квадрате или в библиотеке инструментов системы управления.</t>
  </si>
  <si>
    <t>Не включенные в списки и специальные инструменты</t>
  </si>
  <si>
    <r>
      <t>英制斜管牙</t>
    </r>
    <r>
      <rPr>
        <sz val="9"/>
        <rFont val="Verdana"/>
        <family val="2"/>
      </rPr>
      <t>-BSPT</t>
    </r>
  </si>
  <si>
    <r>
      <t>美制斜管牙</t>
    </r>
    <r>
      <rPr>
        <sz val="9"/>
        <rFont val="Verdana"/>
        <family val="2"/>
      </rPr>
      <t>-NPT</t>
    </r>
  </si>
  <si>
    <r>
      <t>美制斜管牙</t>
    </r>
    <r>
      <rPr>
        <sz val="9"/>
        <rFont val="Verdana"/>
        <family val="2"/>
      </rPr>
      <t>-NPTF</t>
    </r>
  </si>
  <si>
    <r>
      <t>美制斜管牙</t>
    </r>
    <r>
      <rPr>
        <sz val="9"/>
        <rFont val="Verdana"/>
        <family val="2"/>
      </rPr>
      <t>-NPSF</t>
    </r>
  </si>
  <si>
    <r>
      <t>鋼管牙</t>
    </r>
    <r>
      <rPr>
        <sz val="9"/>
        <rFont val="Verdana"/>
        <family val="2"/>
      </rPr>
      <t>-PG</t>
    </r>
  </si>
  <si>
    <r>
      <t>低碳鋼</t>
    </r>
    <r>
      <rPr>
        <sz val="9"/>
        <rFont val="Verdana"/>
        <family val="2"/>
      </rPr>
      <t xml:space="preserve">, &lt; 0,25% </t>
    </r>
    <r>
      <rPr>
        <sz val="9"/>
        <rFont val="細明體"/>
        <family val="3"/>
      </rPr>
      <t>碳</t>
    </r>
    <r>
      <rPr>
        <sz val="9"/>
        <rFont val="Verdana"/>
        <family val="2"/>
      </rPr>
      <t>, &lt; 400 N/mm2</t>
    </r>
  </si>
  <si>
    <r>
      <t>中碳鋼</t>
    </r>
    <r>
      <rPr>
        <sz val="9"/>
        <rFont val="Verdana"/>
        <family val="2"/>
      </rPr>
      <t xml:space="preserve">, &lt; 0,55% </t>
    </r>
    <r>
      <rPr>
        <sz val="9"/>
        <rFont val="細明體"/>
        <family val="3"/>
      </rPr>
      <t>碳</t>
    </r>
    <r>
      <rPr>
        <sz val="9"/>
        <rFont val="Verdana"/>
        <family val="2"/>
      </rPr>
      <t>, &lt; 700 N/mm2</t>
    </r>
  </si>
  <si>
    <r>
      <t>高碳鋼</t>
    </r>
    <r>
      <rPr>
        <sz val="9"/>
        <rFont val="Verdana"/>
        <family val="2"/>
      </rPr>
      <t xml:space="preserve">, &lt; 0,85% </t>
    </r>
    <r>
      <rPr>
        <sz val="9"/>
        <rFont val="細明體"/>
        <family val="3"/>
      </rPr>
      <t>碳</t>
    </r>
    <r>
      <rPr>
        <sz val="9"/>
        <rFont val="Verdana"/>
        <family val="2"/>
      </rPr>
      <t>, &lt; 850 N/mm2</t>
    </r>
  </si>
  <si>
    <r>
      <t>低合金鋼</t>
    </r>
    <r>
      <rPr>
        <sz val="9"/>
        <rFont val="Verdana"/>
        <family val="2"/>
      </rPr>
      <t>, &lt; 850 N/mm2</t>
    </r>
  </si>
  <si>
    <r>
      <t>高合金鋼</t>
    </r>
    <r>
      <rPr>
        <sz val="9"/>
        <rFont val="Verdana"/>
        <family val="2"/>
      </rPr>
      <t>, &lt; 1200 N/mm2</t>
    </r>
  </si>
  <si>
    <r>
      <t>硬化合金鋼</t>
    </r>
    <r>
      <rPr>
        <sz val="9"/>
        <rFont val="Verdana"/>
        <family val="2"/>
      </rPr>
      <t>, &lt; 45 HRC</t>
    </r>
  </si>
  <si>
    <t>Diametrul mediu este masurat optic la frezele SmiCut, iar diametrul exterior teoretic este inscriptionat cu laser pe fiecare scula.
Aceasta valoare masurata este notata in cimpul aferent diametrului de taiere (cimpul 5). Se obtine astfel un filet aproximativ corect. In cazul in care trebuie sa faceti ajustari, acestea pot fi facute in acelasi cimp sau in baza de date a sistemului de comanda.</t>
  </si>
  <si>
    <t>Jos työkalua jota käytät ei ole listalla voit itse täyttää halkaisian,lastuupituuden ja leikkuiden määrän ruuduissa 5-7.</t>
  </si>
  <si>
    <t>Fonta , Grafit Nodular ; Maleabila ; &lt; 700 N/mm2</t>
  </si>
  <si>
    <t>Fonta , Grafit Nodular ; Maleabila ; &lt; 1000 N/mm2</t>
  </si>
  <si>
    <t xml:space="preserve">Otel Inoxidabil ; Prelucrabil </t>
  </si>
  <si>
    <t>Если вы используете инструмент, которого нет в списке, то вы можете ввести диаметр резака, длину режущего края и количество бороздок в квадраты 5–7.</t>
  </si>
  <si>
    <t>Резьбовые фрезы с одной или двумя зубцами по бороздкам.</t>
  </si>
  <si>
    <r>
      <t>不鏽鋼</t>
    </r>
    <r>
      <rPr>
        <sz val="9"/>
        <rFont val="Verdana"/>
        <family val="2"/>
      </rPr>
      <t>, Ferritic</t>
    </r>
    <r>
      <rPr>
        <sz val="9"/>
        <rFont val="細明體"/>
        <family val="3"/>
      </rPr>
      <t>系列，如</t>
    </r>
    <r>
      <rPr>
        <sz val="9"/>
        <rFont val="Verdana"/>
        <family val="2"/>
      </rPr>
      <t>SUS430/SUS434</t>
    </r>
  </si>
  <si>
    <r>
      <t>不鏽鋼</t>
    </r>
    <r>
      <rPr>
        <sz val="9"/>
        <rFont val="Verdana"/>
        <family val="2"/>
      </rPr>
      <t>, Martensitic</t>
    </r>
    <r>
      <rPr>
        <sz val="9"/>
        <rFont val="細明體"/>
        <family val="3"/>
      </rPr>
      <t>系列，如</t>
    </r>
    <r>
      <rPr>
        <sz val="9"/>
        <rFont val="Verdana"/>
        <family val="2"/>
      </rPr>
      <t>SUS420/SUS440</t>
    </r>
  </si>
  <si>
    <r>
      <t>純鈦</t>
    </r>
    <r>
      <rPr>
        <sz val="9"/>
        <rFont val="Verdana"/>
        <family val="2"/>
      </rPr>
      <t>, &lt; 700 N/mm2</t>
    </r>
  </si>
  <si>
    <r>
      <t>鈦合金</t>
    </r>
    <r>
      <rPr>
        <sz val="9"/>
        <rFont val="Verdana"/>
        <family val="2"/>
      </rPr>
      <t>, &lt; 900 N/mm2</t>
    </r>
  </si>
  <si>
    <t>Valitse rungon halkaisia ruutuun 5, teränpituus ruutuun 6 ja hammasluku ruutuun 7. Jos tarvetta valitsee ohjelma automaattisesti tarvittavat kierrot.</t>
  </si>
  <si>
    <t>takaisin</t>
  </si>
  <si>
    <t>Kartio kierteet</t>
  </si>
  <si>
    <t>Vaihtopalajyrsimet</t>
  </si>
  <si>
    <t>Midja työkalu</t>
  </si>
  <si>
    <t>Työkalu yhdellä tai kahdella hampaalla axiaali</t>
  </si>
  <si>
    <t>Erikoistyökalu</t>
  </si>
  <si>
    <t>Oikea kierteenhalkaisia suoraan</t>
  </si>
  <si>
    <t>Työkalukompensointi</t>
  </si>
  <si>
    <t>Внимание!</t>
  </si>
  <si>
    <t>L= longueur de filetage (mm)</t>
  </si>
  <si>
    <t>S= distance de sécurité (mm)</t>
  </si>
  <si>
    <t>d = diamètre de la fraise</t>
  </si>
  <si>
    <t>l =  longueur de coupe</t>
  </si>
  <si>
    <t>z= nombre de dents</t>
  </si>
  <si>
    <t>In cimpul 5 se noteaza diametrul de taiere, in cimpul 6 lungimea de taiere a partii active, iar in cimpul 7 numarul de placute. Daca este necesar, programul va genera automat intreaga lungime de filetat in citeva etape.</t>
  </si>
  <si>
    <t>T= timp de frezare a filetului ( sec. )</t>
  </si>
  <si>
    <t>Program CNC pentru Fanuc</t>
  </si>
  <si>
    <t>以每刃一或二牙銑牙</t>
  </si>
  <si>
    <t>Program CNC pentru Siemens</t>
  </si>
  <si>
    <t>CNC ohjelma Fanukille</t>
  </si>
  <si>
    <t>CNC ohjelma Siemensille</t>
  </si>
  <si>
    <t>CNC ohjelma Nunnille</t>
  </si>
  <si>
    <t>CNC ohjelma Fagorille</t>
  </si>
  <si>
    <t>В данной программе компенсация инструментальной оснастки используется только для небольшой регулировки. Это исключит проблемы, которые могут возникнуть при компенсации радиуса в коротких движениях. Поэтому выбирайте значение близкое к нулю для диаметра резака в библиотеке инструментов системы управления.</t>
  </si>
  <si>
    <t>Выберите язык, в правом нижнем углу сделайте выбор в меню и заполните первые четыре квадрата. При заполнении достаточного количества информации программа представит рекомендуемый ряд фрез. Когда вы выберете одну из фрез, будет показана информация о фрезе, включая рекомендуемые данные резки и время, требуемое для нанесения резьбы. Также будет показана полная программа ЧПУ. Программа ЧПУ может быть скопирована в ваш файл ЧПУ. Остальные шесть квадратов необходимо заполнять только в случае, если вы не согласны с рекомендациями.</t>
  </si>
  <si>
    <t>Tässä ohjelmassa käytetään kompensointia vain pieniin säätöhin. Se eliminoi ongelmat joita voi syntyä kun käyttää sädekompensointia. Anna arvo lähellä nollaa jyrsimen halkaisia työkalukirjastosta ohjausjärjestelmästä.</t>
  </si>
  <si>
    <t>Scule speciale si nelistate</t>
  </si>
  <si>
    <t>BSPT - Filet pentru tevi BSPT</t>
  </si>
  <si>
    <t xml:space="preserve">NPT - Filet pentru tevi NPPT </t>
  </si>
  <si>
    <t>Daca utilizati o scula care nu este pe lista, introduceti  in cimpurile 5-7 diametrul de taiere, lungimea partii active si numarul de dinti.</t>
  </si>
  <si>
    <t>Freze de filetat cu unul sau doi dinti</t>
  </si>
  <si>
    <t>SmiCutin jyrsimissä on keskihalkaisia mitattu optisesti ja teoreettinen ulkohalkaisia laasermerkattu.Tämä mitta siirretään ruutuun 5. Todennäköisesti syntyy täydellinen kierre.Jos tarvetta säätöihin voit tehdä ruudussa.</t>
  </si>
  <si>
    <t xml:space="preserve">NPTF - Dryseal, Filet pentru tevi NPTF </t>
  </si>
  <si>
    <t>Daca alegeti o freza standard tip NM cu unul sau doi dinti, programul va genera automat o spirala de la inceputul pina la sfirsitul prelucrarii .
Daca doriti sa repetati cu o alta scula,  in cimpul 6 introduceti pasul ca fiind lungimea de aschiere.</t>
  </si>
  <si>
    <t>Cutite de filetat cu placute amovibile</t>
  </si>
  <si>
    <t>Filete conice</t>
  </si>
  <si>
    <t>Fonta , Grafit Lamelar ; &lt; 1000 N/mm2</t>
  </si>
  <si>
    <t>Программа автоматически нанесет резьбу в несколько приемов, если у резьбовой фрезы режущая длина короче требуемой длины.</t>
  </si>
  <si>
    <t>Резаки резьбофрезирования с многогранными режущими пластинами</t>
  </si>
  <si>
    <t>Зарегистрируйте диаметр резака в квадрате 5, в квадрате 6 режущую длину пластины и в квадрате 7 количество пластин. При необходимости программа автоматически нанесет полную длину резьбы в несколько приемов.</t>
  </si>
  <si>
    <t>Коническая резьба</t>
  </si>
  <si>
    <t>Jos työkalussa on lyhyempi kierre kun kierteen pituus valitsee ohjelma autommaattisesti tarvittavan määrän axiaali syöttöjä.</t>
  </si>
  <si>
    <t>Geben Sie den Durchmesser des Fräserkörpers im Kästchen Nr. 5 ein, registrieren Sie die Schneidelänge der Wendeschneide im Kästchen Nr. 6 und geben Sie im Kästchen Nr. 7 die Anzahl Schneiden an. Falls erforderlich, wird das Programm das Gewinde in mehreren Durchgängen axial schneiden.</t>
  </si>
  <si>
    <t>Herramientas especiales</t>
  </si>
  <si>
    <t>S = säkerhetsavstånd (mm)</t>
  </si>
  <si>
    <t>Program CNC pentru Num</t>
  </si>
  <si>
    <t>Verktyg med en eller två tänder (axiellt)</t>
  </si>
  <si>
    <t>中文繁體</t>
  </si>
  <si>
    <t>Program CNC pentru Fagor</t>
  </si>
  <si>
    <t>Program CNC pentru Mazak</t>
  </si>
  <si>
    <t>Program CNC pentru Mitsubishi</t>
  </si>
  <si>
    <t>Va rugam, cititi inaintea utilizarii</t>
  </si>
  <si>
    <t>Atentie !</t>
  </si>
  <si>
    <t>Utilizarea programului</t>
  </si>
  <si>
    <t>Wenn das verwendete Werkzeug nicht in der Liste aufgeführt ist, können Sie selbst Fräser-Durchmesser, Schneidelänge des Fräsers und Anzahl Schneiden in den Kästchen 5-7 eintragen.</t>
  </si>
  <si>
    <t>Stainless steel, Ferritic and Austenitic</t>
  </si>
  <si>
    <t>Bild</t>
  </si>
  <si>
    <t>Ant. Pass</t>
  </si>
  <si>
    <t>(Fasning)</t>
  </si>
  <si>
    <t xml:space="preserve"> G40</t>
  </si>
  <si>
    <t>K</t>
  </si>
  <si>
    <t>S</t>
  </si>
  <si>
    <t>G00</t>
  </si>
  <si>
    <t xml:space="preserve"> G91</t>
  </si>
  <si>
    <t xml:space="preserve"> Z</t>
  </si>
  <si>
    <t>G01</t>
  </si>
  <si>
    <t xml:space="preserve"> G41</t>
  </si>
  <si>
    <t xml:space="preserve"> X</t>
  </si>
  <si>
    <t>G03</t>
  </si>
  <si>
    <t xml:space="preserve"> DR+</t>
  </si>
  <si>
    <t xml:space="preserve"> R0</t>
  </si>
  <si>
    <t xml:space="preserve"> M3</t>
  </si>
  <si>
    <t>. J</t>
  </si>
  <si>
    <t>. Y</t>
  </si>
  <si>
    <t>. Z</t>
  </si>
  <si>
    <t>Styrsystem</t>
  </si>
  <si>
    <t>Nickel, legiert, &lt; 1250 N/mm2</t>
  </si>
  <si>
    <t>Number of passes, radial (max 3)</t>
  </si>
  <si>
    <t>Number of passes, axial</t>
  </si>
  <si>
    <t>BSPT - konisk rörgänga</t>
  </si>
  <si>
    <t>NPT - konisk rörgänga</t>
  </si>
  <si>
    <t>NPTF - dryseal, konisk rörgänga</t>
  </si>
  <si>
    <t>CNC ohjema Masakille</t>
  </si>
  <si>
    <t>CNC ohjelma Mitsubisille</t>
  </si>
  <si>
    <t>Lue ennen käyttöä</t>
  </si>
  <si>
    <t>Kuinka Käyttää ohjelmaa</t>
  </si>
  <si>
    <t>Varoitus!</t>
  </si>
  <si>
    <t xml:space="preserve">NPSF - Filet pentru tevi </t>
  </si>
  <si>
    <t>PG - Filet PG</t>
  </si>
  <si>
    <t xml:space="preserve">Alegeti limba in care doriti sa lucrati din meniul din dreapta, alegeti parametrii doriti si completati primele patru cimpuri. Completind suficient de multe informatii, programul va oferi o gama recomandata de freze. Dupa ce ati ales o anumita freza, veti primi informatii detaliate despre aceasta, inclusiv regimul de lucru recomandat si durata de filetare. Veti primi si programul CNC complet. Programul CNC poate fi copiat si stocat in fisierul CNC al masinii dvs. Veti completa celelalte sase cimpuri numai daca nu acceptati gama recomandata. </t>
  </si>
  <si>
    <t>Compensare pentru prelucrare</t>
  </si>
  <si>
    <t>Otel cu continut ridicat de carbon ; &lt; 0,85% C, &lt; 850 N/mm2</t>
  </si>
  <si>
    <t>Otel slab aliat ; &lt; 850 N/mm2</t>
  </si>
  <si>
    <t>Otel inalt aliat ; &lt; 1200 N/mm2</t>
  </si>
  <si>
    <t>Otel calit ; &lt; 45 HRC</t>
  </si>
  <si>
    <t>Otel calit ; &lt; 55 HRC</t>
  </si>
  <si>
    <t>Otel calit ; &lt; 65 HRC</t>
  </si>
  <si>
    <t>Fonta , Grafit Lamelar ; &lt; 500 N/mm2</t>
  </si>
  <si>
    <t>filete interioare - frezate pe centre de prelucrat</t>
  </si>
  <si>
    <t>filete interioare - frezate pe strung - scula antrenata</t>
  </si>
  <si>
    <t xml:space="preserve">Num </t>
  </si>
  <si>
    <t>UN - filet UN</t>
  </si>
  <si>
    <t>Wenn Sie ein Standardwerkzeug mit einem Zahn bzw. zwei Zähnen wählen (Typ NM), wird das Programm automatisch einen Zyklus erstellen, der eine Spirale herstellt bis das Gewinde komplett fertig ist. Möchten Sie einen ähnlichen Zyklus mit einem anderen Werkzeug machen, geben Sie die Steigung als die Schneidelänge des Fräsers im Kästchen 6 an.</t>
  </si>
  <si>
    <t>Aluminium, legiert, &gt; 10% Si</t>
  </si>
  <si>
    <t>Graphit</t>
  </si>
  <si>
    <t>M - Metrisch</t>
  </si>
  <si>
    <t>NPSF - Rohrgewinde</t>
  </si>
  <si>
    <t>NPSF - Pipe Thread</t>
  </si>
  <si>
    <t>L = Gewindelänge (mm)</t>
  </si>
  <si>
    <t>Deutsch</t>
  </si>
  <si>
    <t>English</t>
  </si>
  <si>
    <t>Aluminium, Alloyed, &gt; 10% Si</t>
  </si>
  <si>
    <t>Inconel 718</t>
  </si>
  <si>
    <t>Nichel , Aliat ; &lt; 1250 N/mm2</t>
  </si>
  <si>
    <t>Cupru , Nealiat ; &lt; 350 N/mm2</t>
  </si>
  <si>
    <t>Stainless steel, Austenitic</t>
  </si>
  <si>
    <t>Aluminiu Aliat ; &lt; 0.5% Si</t>
  </si>
  <si>
    <t>Aluminiu Aliat ; &lt; 10% Si</t>
  </si>
  <si>
    <t>Aluminiu Aliat ; &gt; 10% Si</t>
  </si>
  <si>
    <t>INCONEL 718</t>
  </si>
  <si>
    <t>D = diametrul filetului (mm)</t>
  </si>
  <si>
    <t>Freze de filetat scurte</t>
  </si>
  <si>
    <t>Programul va genera automat filetul in citeva etape, daca freza are lungimea de taiere mai mica decit lungimea ceruta.</t>
  </si>
  <si>
    <t>Otel Inoxidabil ; Feritic si Austenitic</t>
  </si>
  <si>
    <t>Titan , Nealiat ; &lt; 700 N/mm2</t>
  </si>
  <si>
    <t>P = pasul (TPI)</t>
  </si>
  <si>
    <t>L = lungimea filetului (mm)</t>
  </si>
  <si>
    <t>Ruostumaton, automaattiteräs</t>
  </si>
  <si>
    <t>CNC program for Mitsubishi</t>
  </si>
  <si>
    <t>Programnr.</t>
  </si>
  <si>
    <t>Titan , Aliat ; &lt; 900 N/mm2</t>
  </si>
  <si>
    <t>Titan , Aliat ; &lt; 1250 N/mm2</t>
  </si>
  <si>
    <t>Nichel , Nealiat ; &lt; 500 N/mm2</t>
  </si>
  <si>
    <t>Nichel , Aliat ; &lt; 900 N/mm2</t>
  </si>
  <si>
    <t>V = viteza de taiere (m/min)</t>
  </si>
  <si>
    <t>Titanium, Alloyed, &lt; 900 N/mm2</t>
  </si>
  <si>
    <t>G12.1</t>
  </si>
  <si>
    <t>Stainless steel, Free Machining</t>
  </si>
  <si>
    <t>Internal Thread Milling in Lathe with Live Tool</t>
  </si>
  <si>
    <t>Fz = avansul / dinte (mm/dinte)</t>
  </si>
  <si>
    <t>Numarul de treceri radiale</t>
  </si>
  <si>
    <t xml:space="preserve">Numarul de treceri axiale </t>
  </si>
  <si>
    <t>N = turatia (axul principal rpm)</t>
  </si>
  <si>
    <t xml:space="preserve">FD = avans - la diam.filetului (mm/min) </t>
  </si>
  <si>
    <t>Fd = avans la centrul frezei (mm/min)</t>
  </si>
  <si>
    <t>Fyll i fräskroppens skärdiameter på ruta 5, ange vändskärets skärkantlängd på ruta 6 och ange antal skär på ruta 7. Om behov föreligger kommer programmet automatiskt göra gängan i flera pass axiellt.</t>
  </si>
  <si>
    <t>Koniska gängor</t>
  </si>
  <si>
    <t>Acero, templado, &lt; 55 HRC</t>
  </si>
  <si>
    <t>Stål, medel kolhalt, &lt; 0,55% C, &lt; 700 N/mm2</t>
  </si>
  <si>
    <t>Mitsubishi</t>
  </si>
  <si>
    <t>UN - Unified</t>
  </si>
  <si>
    <t>V</t>
  </si>
  <si>
    <t>F1</t>
  </si>
  <si>
    <t>Pass, radiellt</t>
  </si>
  <si>
    <t>l / L</t>
  </si>
  <si>
    <t>F2a</t>
  </si>
  <si>
    <t>F1*F2*F3</t>
  </si>
  <si>
    <t>Fz</t>
  </si>
  <si>
    <t>B / d</t>
  </si>
  <si>
    <t>H / d</t>
  </si>
  <si>
    <t>PG - Pansarrörsgänga</t>
  </si>
  <si>
    <t>Steel, Hardened, &lt; 65 HRC</t>
  </si>
  <si>
    <t>D = gängans diameter (mm)</t>
  </si>
  <si>
    <t>An Gewinde-Fräsern von SmiCut wurde der Durchnitts-Durchmesser optisch gemessen, wonach der theoretische Außendurchmesser am Werkzeug mit dem Laser markiert wurde. Dieses Maß sollte im Kästchen neben des Fräsers-Durchmesser (Kästchen Nr. 5) eingegeben werden. Höchst wahrscheinlich werden Sie sofort ein korrektes Gewinde erreichen. Falls danach weitere Justierungen erforderlich sein sollten, können Sie diese nochmals im gleichen Kästchen oder durch die Werkzeugbibliothek des Steuerungssystems machen.</t>
  </si>
  <si>
    <t>Otel cu continut mic de carbon ; &lt; 0,25% C, &lt; 400 N/mm2</t>
  </si>
  <si>
    <t>Otel cu continut mediu de carbon ; &lt; 0,55% C, &lt; 700 N/mm2</t>
  </si>
  <si>
    <t>Eesti</t>
  </si>
  <si>
    <t>Dansk</t>
  </si>
  <si>
    <t>Suomi</t>
  </si>
  <si>
    <t>Fräsens skärdiameter som anges är vid gängan närmast skaftet. Därför måste gängans diameter som anges vara där denna del av verktyget går i ingrepp.</t>
  </si>
  <si>
    <t>Warnung!</t>
  </si>
  <si>
    <t>The cutter diameter is over the last full thread closest to the shaft. It is therefore necessary to register the thread diameter where this part of the milling cutter is working.</t>
  </si>
  <si>
    <t>Wenn das Werkzeug eine kürzere Schneidelänge als Gewindelänge hat, wird das Programm das Gewinde automatisch die erforderliche Anzahl axiale Durchgänge schneiden.</t>
  </si>
  <si>
    <t>Si eliges una herramienta standard con uno o dos dientes, tipo NM, el programa va a crear automáticamente un ciclo que hace una espiral hasta que la rosca esté terminada. Si quieres hacer un ciclo parecido con otra herramienta, pon el paso como la longitud del corte en cuadro 6.</t>
  </si>
  <si>
    <t>z = Anzahl Schneiden</t>
  </si>
  <si>
    <t>z = number of flutes</t>
  </si>
  <si>
    <t>Nederlands</t>
  </si>
  <si>
    <t>Português</t>
  </si>
  <si>
    <t>Français</t>
  </si>
  <si>
    <t>Italiano</t>
  </si>
  <si>
    <t>Norsk</t>
  </si>
  <si>
    <t>Polski</t>
  </si>
  <si>
    <t>Warning!</t>
  </si>
  <si>
    <t>P = stigning (mm)</t>
  </si>
  <si>
    <t>Nickel, unlegiert, &lt; 500 N/mm2</t>
  </si>
  <si>
    <t>In acest program, compensarea pentru prelucrare se utilizeaza doar pentru mici reglaje. Aceasta elimina problemele care pot sa apara la utilizarea compensarii de raza la deplasari mici. Din baza de date a sistemului de comanda, alegeti o valoare apropiata de zero pentru diametrul de taiere.</t>
  </si>
  <si>
    <t>Corectarea imediata a diametrului de filetare</t>
  </si>
  <si>
    <t>Ant. hela tänd.</t>
  </si>
  <si>
    <t>10021, 2 pass, konisk, Fanuc</t>
  </si>
  <si>
    <t>V = Schnittgeschwindigkeit (m/min)</t>
  </si>
  <si>
    <t>M - Metrisk</t>
  </si>
  <si>
    <t>Русский</t>
  </si>
  <si>
    <t>G13.1</t>
  </si>
  <si>
    <t>CNC program for Siemens</t>
  </si>
  <si>
    <t>l = longitud del corte (mm)</t>
  </si>
  <si>
    <t>M, UN, G, BSPT, PG</t>
  </si>
  <si>
    <t>NPT, NPTF, NPSF</t>
  </si>
  <si>
    <t>Antal tänder</t>
  </si>
  <si>
    <t>FD = avance en Ø de la rosca (mm/min)</t>
  </si>
  <si>
    <t>Acero, carbono alto, &lt; 0,85% C, &lt; 850 N/mm2</t>
  </si>
  <si>
    <t>Acero, aleado bajo, &lt; 850 N/mm2</t>
  </si>
  <si>
    <t>Nummer</t>
  </si>
  <si>
    <t>P = pasul (mm)</t>
  </si>
  <si>
    <t>Cupru, Alama, Bronz ; &lt; 700 N/mm2</t>
  </si>
  <si>
    <t>Cupru, Bronz Dur ; &lt; 1500 N/mm2</t>
  </si>
  <si>
    <t xml:space="preserve">Aluminiu Nealiat </t>
  </si>
  <si>
    <t>Otel Inoxidabil ; Austenitic</t>
  </si>
  <si>
    <t>The program will automatically make a spiral from start until the thread is finished when you choose a standard cutter type NM with one or two teeth. If you want to do the same with a another tool, then you have to register the pitch as length of cutting edge in square 6.</t>
  </si>
  <si>
    <t>D = Gewinde-Durchmesser (mm)</t>
  </si>
  <si>
    <t>z = número de labios</t>
  </si>
  <si>
    <t>Nickel, olegerat, &lt; 500 N/mm2</t>
  </si>
  <si>
    <t>Steel, Low Carbon, &lt; 0,25% C, &lt; 400 N/mm2</t>
  </si>
  <si>
    <t>Cast iron, Nodular Grap., Malleable, &lt; 1000 N/mm2</t>
  </si>
  <si>
    <t>31, 3 pass Fanuc</t>
  </si>
  <si>
    <t>Nickel, Alloyed, &lt; 1250 N/mm2</t>
  </si>
  <si>
    <t>Copper, Unalloyed, &lt; 350 N/mm2</t>
  </si>
  <si>
    <t>Titanium, Alloyed, &lt; 1250 N/mm2</t>
  </si>
  <si>
    <t>Gjutjärn, segjärn, aducergods, &lt; 1000 N/mm2</t>
  </si>
  <si>
    <t>Rostfria automatstål</t>
  </si>
  <si>
    <t>Rostfria stål, austenitiska</t>
  </si>
  <si>
    <t>Rostfria stål, ferritaustenitiska</t>
  </si>
  <si>
    <t>1011, 1 pass, microfräsar, Fanuc</t>
  </si>
  <si>
    <t>Copper, Brass, Bronze, &lt; 700 N/mm2</t>
  </si>
  <si>
    <t>Specialverktyg</t>
  </si>
  <si>
    <t>Siemens</t>
  </si>
  <si>
    <t>Num</t>
  </si>
  <si>
    <t>Fagor</t>
  </si>
  <si>
    <t>Mazak</t>
  </si>
  <si>
    <t>Titanium, Unalloyed, &lt; 700 N/mm2</t>
  </si>
  <si>
    <t>CNC program for Mazak</t>
  </si>
  <si>
    <t>Titanio, aleado, &lt; 900 N/mm2</t>
  </si>
  <si>
    <t>Titanio, aleado, &lt; 1250 N/mm2</t>
  </si>
  <si>
    <t>Níquel, aleado, &lt; 1250 N/mm2</t>
  </si>
  <si>
    <t>På gängfräsar från SmiCut är medeldiametern uppmätt optiskt och sedan har man lasermärkt den teoretiska ytterdiametern på verktyget. Detta mått bör föras in på rutan som är bredvid fräsens skärdiameter (ruta 5). Med största sannolikhet kommer du direkt att få en korrekt gänga. Ifall du därefter behöver göra justeringar kan du göra detta på samma ruta igen eller i verktygsbiblioteket på styrsystemet.</t>
  </si>
  <si>
    <t>Koppar, brons, hög brottstyrka, &lt; 1500 N/mm2</t>
  </si>
  <si>
    <t>Koppar, mässing, brons, &lt; 700 N/mm2</t>
  </si>
  <si>
    <t>Compensación de la herramienta</t>
  </si>
  <si>
    <t>Acero, templado, &lt; 65 HRC</t>
  </si>
  <si>
    <t>Verktygskompensering</t>
  </si>
  <si>
    <t>L = gängans längd (mm)</t>
  </si>
  <si>
    <t>Stål, låg kolhalt, &lt; 0,25% C, &lt; 400 N/mm2</t>
  </si>
  <si>
    <t>Koppar, olegerat, &lt; 350 N/mm2</t>
  </si>
  <si>
    <t>#1=</t>
  </si>
  <si>
    <t>#2=0</t>
  </si>
  <si>
    <t>S = distanta de siguranta (mm)</t>
  </si>
  <si>
    <t>d = diametrul sculei (mm)</t>
  </si>
  <si>
    <t>l = lungimea muchiei taietoare (mm)</t>
  </si>
  <si>
    <t>z = numarul de canale</t>
  </si>
  <si>
    <t>NPTF - dryseal, konische Rohrgewinde</t>
  </si>
  <si>
    <t>BSPT - konische Rohrgewinde</t>
  </si>
  <si>
    <t>BSPT - rosca de tubo cónica</t>
  </si>
  <si>
    <t>NPT - rosca de tubo cónica</t>
  </si>
  <si>
    <t>BSPT - Tapered Pipe Thread</t>
  </si>
  <si>
    <t>NPT - Tapered Pipe Thread</t>
  </si>
  <si>
    <t>NPTF - Dryseal, Tapered Pipe Thread</t>
  </si>
  <si>
    <t>Rätt gängdiameter direkt</t>
  </si>
  <si>
    <t>Inoxidable, ferrítico y austenítico</t>
  </si>
  <si>
    <t>Titanio, no aleado, &lt; 700 N/mm2</t>
  </si>
  <si>
    <t>Internal Thread Milling in Machining Center</t>
  </si>
  <si>
    <t>programa CNC para Mitsubishi</t>
  </si>
  <si>
    <t>Níquel, no aleado, &lt; 500 N/mm2</t>
  </si>
  <si>
    <t>Níquel, aleado, &lt; 900 N/mm2</t>
  </si>
  <si>
    <t>FD = Vorschub am Gewinde Ø (mm/min)</t>
  </si>
  <si>
    <t>d = fräsens skärdiameter (mm)</t>
  </si>
  <si>
    <t>programa CNC para Fanuc</t>
  </si>
  <si>
    <t>Fz = Vorschub/Schneide (mm/Schneide)</t>
  </si>
  <si>
    <t>P = stigning (TPI)</t>
  </si>
  <si>
    <t>S = distancia de seguridad (mm)</t>
  </si>
  <si>
    <t>Herramientas con plaquitas</t>
  </si>
  <si>
    <t>V = cutting speed (m/min)</t>
  </si>
  <si>
    <t>Steel, High Carbon, &lt; 0,85% C, &lt; 850 N/mm2</t>
  </si>
  <si>
    <t>F3</t>
  </si>
  <si>
    <t>Kupfer, unlegiert, &lt; 350 N/mm2</t>
  </si>
  <si>
    <t>FD = matning vid gängans Ø(mm/min)</t>
  </si>
  <si>
    <t>T, microfräsar</t>
  </si>
  <si>
    <t>Verktyg med midja</t>
  </si>
  <si>
    <t>Stigning</t>
  </si>
  <si>
    <t>Aluminium, Alloyed, &lt; 0.5% Si</t>
  </si>
  <si>
    <t>Aluminium, Alloyed, &lt; 10% Si</t>
  </si>
  <si>
    <t>Leer antes de usar</t>
  </si>
  <si>
    <t>Läs innan användning</t>
  </si>
  <si>
    <t>10011, 1 pass, konisk, Fanuc</t>
  </si>
  <si>
    <t>Inoxidable, fácil de mecanizar</t>
  </si>
  <si>
    <t>Inoxidable, austenítico</t>
  </si>
  <si>
    <t>programa CNC para Mazak</t>
  </si>
  <si>
    <t>tillbaka</t>
  </si>
  <si>
    <t>Cast iron, Lamellar Graphite, &lt; 500 N/mm2</t>
  </si>
  <si>
    <t>T = segundos para fresar la rosca</t>
  </si>
  <si>
    <t>programa CNC para Siemens</t>
  </si>
  <si>
    <t>Gjutjärn, gråjärn, &lt; 1000 N/mm2</t>
  </si>
  <si>
    <t>Gjutjärn, segjärn, aducergods, &lt; 700 N/mm2</t>
  </si>
  <si>
    <t>Kupfer, Messing, Bronze, &lt; 700 N/mm2</t>
  </si>
  <si>
    <t>Con este programa la compensación de la herramienta sólo se usa para ajustes menores. Con esto vas a eliminar problemas que pueden ocurrir cuando uno está usando la compensación en movimientos cortos. Por eso, pon un valor cerca de cero para el diámetro de la fresa en la biblioteca del control numérico.</t>
  </si>
  <si>
    <t>Diámetro correcto de la rosca sin prueba</t>
  </si>
  <si>
    <t>111, 1 pass, flera pass axiellt, Fanuc</t>
  </si>
  <si>
    <t>T (sekunder)</t>
  </si>
  <si>
    <t>NPSF - rörgänga</t>
  </si>
  <si>
    <t>copyright ©</t>
  </si>
  <si>
    <t>Roscas cónicas</t>
  </si>
  <si>
    <t>Stål, låglegerat, &lt; 850 N/mm2</t>
  </si>
  <si>
    <t>Stål, härdat, &lt; 45 HRC</t>
  </si>
  <si>
    <t>Stål, härdat, &lt; 55 HRC</t>
  </si>
  <si>
    <t>Stål, härdat, &lt; 65 HRC</t>
  </si>
  <si>
    <t>¡Atención!</t>
  </si>
  <si>
    <t>Gänglängd</t>
  </si>
  <si>
    <t>Gängprofil</t>
  </si>
  <si>
    <t>Angivna skärdata är endast rekommenderade startvärden. Det finns många faktorer som kan påverka så att justeringar måste göras, t ex maskinstabilitet, verktygsutrustning etc. SmiCut ansvarar ej för skador som kan uppstå när man använder CNC programmet eller skärdata från mjukvaran.</t>
  </si>
  <si>
    <t>1 pass rad.</t>
  </si>
  <si>
    <t>Antal pass</t>
  </si>
  <si>
    <t>Om verktyget du använder inte finns på listan kan du själv fylla i fräsens skärdiameter, skärkantlängd och antal skär på ruta 5-7.</t>
  </si>
  <si>
    <t>Acero, carbono medio, &lt; 0,55% C, &lt; 700 N/mm2</t>
  </si>
  <si>
    <t>CNC program för Fagor</t>
  </si>
  <si>
    <t>CNC program för Mazak</t>
  </si>
  <si>
    <t>Fräs</t>
  </si>
  <si>
    <t>Fd = avance centro fresa (mm/min)</t>
  </si>
  <si>
    <t>z = antal skäreggar</t>
  </si>
  <si>
    <t>Thread Milling Cutters with Indexable Inserts</t>
  </si>
  <si>
    <t>N = Spindeldrehzahl (1/min)</t>
  </si>
  <si>
    <t>Graphite</t>
  </si>
  <si>
    <t>T, fräsar</t>
  </si>
  <si>
    <t>T, tid</t>
  </si>
  <si>
    <t>Nickel, legerat, &lt; 900 N/mm2</t>
  </si>
  <si>
    <t>Om du väljer ett standardverktyg med en eller två tänder, typ NM, kommer programmet automatiskt att skapa en cykel som gör en spiral tills gängan är färdig. Om du vill skapa en liknande cykel med ett annat verktyg anger du stigningen som fräsens skärkantlängd på ruta 6.</t>
  </si>
  <si>
    <t>Copper, High Strength Bronze, &lt; 1500 N/mm2</t>
  </si>
  <si>
    <t>Aluminium, Unalloyed</t>
  </si>
  <si>
    <t>Titan, legerat, &lt; 1250 N/mm2</t>
  </si>
  <si>
    <t>Gußeisen mit Lamellengraphit, &lt; 500 N/mm2</t>
  </si>
  <si>
    <t>Nickel, legiert, &lt; 900 N/mm2</t>
  </si>
  <si>
    <t>NPSF - rosca de tubo</t>
  </si>
  <si>
    <t>Acero, carbono bajo, &lt; 0,25% C, &lt; 400 N/mm2</t>
  </si>
  <si>
    <t>Description</t>
  </si>
  <si>
    <t>d</t>
  </si>
  <si>
    <t>D</t>
  </si>
  <si>
    <t>Z</t>
  </si>
  <si>
    <t>Svenska</t>
  </si>
  <si>
    <t>CNC program for Num</t>
  </si>
  <si>
    <t>CNC program for Fagor</t>
  </si>
  <si>
    <t>2 pass rad.</t>
  </si>
  <si>
    <t>3 pass rad.</t>
  </si>
  <si>
    <t>Aluminium, legiert, &lt; 10% Si</t>
  </si>
  <si>
    <t>CNC program för Fanuc</t>
  </si>
  <si>
    <t>CNC program för Siemens</t>
  </si>
  <si>
    <t>CNC program för Num</t>
  </si>
  <si>
    <t>rostfreier Stahl, austenitisch</t>
  </si>
  <si>
    <t>END1</t>
  </si>
  <si>
    <t>Titan, olegerat, &lt; 700 N/mm2</t>
  </si>
  <si>
    <t>Titan, legerat, &lt; 900 N/mm2</t>
  </si>
  <si>
    <t>d = diámetro del corte (mm)</t>
  </si>
  <si>
    <t>NPT - konische Rohrgewinde</t>
  </si>
  <si>
    <t>Cast iron, Lamellar Graphite, &lt; 1000 N/mm2</t>
  </si>
  <si>
    <t>Der angegebene Fräser-Durchmesser ist am Zahn neben dem Schaft. Daher muß der angegebene Gewinde-Durchmesser dort sein, wo dieses Teil des Werkzeugs eingreift.</t>
  </si>
  <si>
    <t>Ende</t>
  </si>
  <si>
    <t>Vändskärsgängfräsar</t>
  </si>
  <si>
    <t xml:space="preserve"> FMAX</t>
  </si>
  <si>
    <t xml:space="preserve"> IY</t>
  </si>
  <si>
    <t>How to use the Program</t>
  </si>
  <si>
    <t>volver</t>
  </si>
  <si>
    <t>back</t>
  </si>
  <si>
    <t>L = longitud de la rosca (mm)</t>
  </si>
  <si>
    <t>Varning!</t>
  </si>
  <si>
    <t>Invändig gängfräsning i svarv med drivna verktyg</t>
  </si>
  <si>
    <t>Las condiciones de corte que estan mencionadas son recomendadas para empezar. Hay muchos factores que pueden afectar para que uno tenga que hacer ajustes, por ejemplo la estabilidad de la maquina, herramientas etc. SmiCut no se responsabiliza de los daños que puedan ocurir cuando uno esta usando el Programa CNC y las condiciones de corte del programa.</t>
  </si>
  <si>
    <t>WHILE[#2LT#1]DO1</t>
  </si>
  <si>
    <t>#2=#2+1</t>
  </si>
  <si>
    <t>Stål, hög kolhalt, &lt; 0,85% C, &lt; 850 N/mm2</t>
  </si>
  <si>
    <t>antal pass, radiellt (max 3)</t>
  </si>
  <si>
    <t>Typ</t>
  </si>
  <si>
    <t>Invändig gängfräsning i fräsmaskin</t>
  </si>
  <si>
    <t>F2b</t>
  </si>
  <si>
    <t>END3</t>
  </si>
  <si>
    <t>Med detta program används verktygskompenseringen endast för mindre justeringar. Detta kommer eliminera problem som kan uppstå när man använder radiekompensering på korta förflyttningar. Ange därför ett värde nära noll för fräsens diameter i verktygsbiblioteket på styrsystemet.</t>
  </si>
  <si>
    <t>Número de pasadas, radial (max 3)</t>
  </si>
  <si>
    <t>Número de pasadas, axial</t>
  </si>
  <si>
    <t>Fanuc</t>
  </si>
  <si>
    <t>l = fräsens skärkantlängd (mm)</t>
  </si>
  <si>
    <t>V = velocidad de corte (m/min)</t>
  </si>
  <si>
    <t>V = skärhastighet (m/min)</t>
  </si>
  <si>
    <t>Fz = matning/tand (mm/tand)</t>
  </si>
  <si>
    <t>antal pass, axiellt</t>
  </si>
  <si>
    <t>N = varvtal (varv/min)</t>
  </si>
  <si>
    <t>programa CNC para Fagor</t>
  </si>
  <si>
    <t>Konisk</t>
  </si>
  <si>
    <t>Svarvning</t>
  </si>
  <si>
    <t>Hierro fundido, lámina de grafito, &lt; 500 N/mm2</t>
  </si>
  <si>
    <t>Hierro fundido, lámina de grafito, &lt; 1000 N/mm2</t>
  </si>
  <si>
    <t>Cobre, no aleado, &lt; 350 N/mm2</t>
  </si>
  <si>
    <t>NPTF - dryseal, rosca de tubo cónica</t>
  </si>
  <si>
    <t>10031, 3 pass, konisk, Fanuc</t>
  </si>
  <si>
    <t>P</t>
  </si>
  <si>
    <t>l</t>
  </si>
  <si>
    <t>L</t>
  </si>
  <si>
    <t>EUR</t>
  </si>
  <si>
    <t>d = cutter diameter (mm)</t>
  </si>
  <si>
    <t>d = Fräser-Durchmesser (mm)</t>
  </si>
  <si>
    <t>Stål, höglegerat, &lt; 1200 N/mm2</t>
  </si>
  <si>
    <t>In this program, compensation of tooling is only used for smaller adjustments. This will eliminate problems which can occur when one uses compensation of radius in short movements. Chose therefore a value close to zero for cutter diameter in tooling library of the control system.</t>
  </si>
  <si>
    <t>Gewindefräsen innen in der Drehmaschine mit angetriebenen Werkzeugen</t>
  </si>
  <si>
    <t>Gewindefräsen innen in der Drehmaschine</t>
  </si>
  <si>
    <t>Gewindefräsen innen in der Fräsmachine</t>
  </si>
  <si>
    <t>Kupfer, hochfeste Bronze, &lt; 1500 N/mm2</t>
  </si>
  <si>
    <t>Aluminium, unlegiert</t>
  </si>
  <si>
    <t>Aluminium, legiert, &lt; 0.5% Si</t>
  </si>
  <si>
    <t>Gußeisen mit Lamellengraphit, &lt; 1000 N/mm2</t>
  </si>
  <si>
    <t>Gußeisen mit Kugelgraphit, &lt; 700 N/mm2</t>
  </si>
  <si>
    <t>Stahl, Kohlenstoffgehalt 0,25-0,55%, 700 N/mm2</t>
  </si>
  <si>
    <t>Aluminio, aleado, &gt; 10% Si</t>
  </si>
  <si>
    <t>P = Steigung (mm)</t>
  </si>
  <si>
    <t>F2</t>
  </si>
  <si>
    <t>B</t>
  </si>
  <si>
    <t>Fd</t>
  </si>
  <si>
    <t>T</t>
  </si>
  <si>
    <t>Compensation of Tooling</t>
  </si>
  <si>
    <t>Fd = matning i fräsens centrum (mm/min)</t>
  </si>
  <si>
    <t>Roscado interior en un torno</t>
  </si>
  <si>
    <t>Si la herramienta que estás usando no está en la lista puedes rellenar el diámetro del corte, la longitud del corte y número de labios en los cuadros 5, 6 y 7.</t>
  </si>
  <si>
    <t>Roscado interior en una fresadora</t>
  </si>
  <si>
    <t>Werkzeuge mit einem Zahn / zwei Zähnen (axial)</t>
  </si>
  <si>
    <t>Werkzeug mit Taille</t>
  </si>
  <si>
    <t>Bitte unbedingt vor Gebrauch lesen!</t>
  </si>
  <si>
    <t>CNC program för Mitsubishi</t>
  </si>
  <si>
    <t>Correct Thread Diameter right away</t>
  </si>
  <si>
    <t>Stahl, hochlegiert, &lt; 1200 N/mm2</t>
  </si>
  <si>
    <t>Stahl, gerhärtet, &lt; 45 HRC</t>
  </si>
  <si>
    <t>Stahl, gerhärtet, &lt; 55 HRC</t>
  </si>
  <si>
    <t>El diámetro medio de las fresas de roscar de SmiCut está medido ópticamente y después se han marcado con láser el diámetro teórico de la fresa. Esta medida se debe poner en el cuadro que está al lado del diámetro del corte (cuadro 5). Es muy probable que vayas a realizar una rosca correcta directamente. Si necesitas hacer ajustes después se puede hacer en el mismo cuadro o en la biblioteca del control numérico.</t>
  </si>
  <si>
    <t>Stahl, niedriglegiert, &lt; 850 N/mm2</t>
  </si>
  <si>
    <t>Steel, Medium Carbon, &lt; 0,55% C, &lt; 700 N/mm2</t>
  </si>
  <si>
    <t>Cast iron, Nodular Grap., Malleable, &lt; 700 N/mm2</t>
  </si>
  <si>
    <t>CNC Programm für Fagor</t>
  </si>
  <si>
    <t>Español</t>
  </si>
  <si>
    <t>N = spindle speed (rpm)</t>
  </si>
  <si>
    <t>B/d</t>
  </si>
  <si>
    <t>CNC Programm für Num</t>
  </si>
  <si>
    <t>Cobre, latón, bronze, &lt; 700 N/mm2</t>
  </si>
  <si>
    <t>programa CNC para Num</t>
  </si>
  <si>
    <t>Gänga</t>
  </si>
  <si>
    <t>Pass, raidellt</t>
  </si>
  <si>
    <t>Microfräs</t>
  </si>
  <si>
    <t>Steel, Low Alloy, &lt; 850 N/mm2</t>
  </si>
  <si>
    <t>l = length of cutting edge (mm)</t>
  </si>
  <si>
    <t>Wendeschneid-Gewindefräser</t>
  </si>
  <si>
    <t>D = thread diameter (mm)</t>
  </si>
  <si>
    <t>Steel, Hardened, &lt; 45 HRC</t>
  </si>
  <si>
    <t>Steel, Hardened, &lt; 55 HRC</t>
  </si>
  <si>
    <t>Aluminio, no aleado</t>
  </si>
  <si>
    <t>Aluminio, aleado, &lt; 0.5% Si</t>
  </si>
  <si>
    <t>Aluminio, aleado, &lt; 10% Si</t>
  </si>
  <si>
    <t>FD = feed at thread diameter (mm/min)</t>
  </si>
  <si>
    <t>T = tid att fräsa gängan (sekunder)</t>
  </si>
  <si>
    <t>Titan, unlegiert, &lt; 700 N/mm2</t>
  </si>
  <si>
    <t>Titan, legiert, &lt; 900 N/mm2</t>
  </si>
  <si>
    <t>Gußeisen mit Kugelgraphit, &lt; 1000 N/mm2</t>
  </si>
  <si>
    <t>rostfreier Stahl, gut bearbeitbar</t>
  </si>
  <si>
    <t>21, 2 pass Fanuc</t>
  </si>
  <si>
    <t>Steel, High Alloy, &lt; 1200 N/mm2</t>
  </si>
  <si>
    <t>Herramientas con uno o dos dientes (axial)</t>
  </si>
  <si>
    <t>Værktøj med en eller 2 tænder (axialt)</t>
  </si>
  <si>
    <t>Om verktyget har kortare skärkantlängd än gänglängd kommer programmet automatiskt att göra gängan i behövligt antal axiella pass.</t>
  </si>
  <si>
    <t>D = diámetro de la rosca (mm)</t>
  </si>
  <si>
    <t>P = paso (mm)</t>
  </si>
  <si>
    <t>P = paso (TPI)</t>
  </si>
  <si>
    <t>Gäng D</t>
  </si>
  <si>
    <t>Allt</t>
  </si>
  <si>
    <t>Rullist</t>
  </si>
  <si>
    <t>F1 x F2</t>
  </si>
  <si>
    <t>Pass, axiellt</t>
  </si>
  <si>
    <t>P = pitch (mm)</t>
  </si>
  <si>
    <t>P = pitch (TPI)</t>
  </si>
  <si>
    <t>Elige idioma abajo en el lado derecho y después puedes elegir tus opciones en las pestañas y en los cuatro primeros cuadros. Con esta información el programa te va a ofrecer diferentes herramientas convenientes en la última pestaña. Cuando has eligido una herramienta, puedes ver la información de la herramienta, condiciones de corte y el tiempo que tarda en hacer la rosca. Además se enseña el programa CNC. Se puede copiar y pegar en otro archivo. Los últimos seis cuadros sólo se rellenan en caso de no aceptar lo recomdendado.</t>
  </si>
  <si>
    <t>1021, 2 pass, microfräsar, Fanuc</t>
  </si>
  <si>
    <t>WHILE[#2LT#1]DO2</t>
  </si>
  <si>
    <t>END2</t>
  </si>
  <si>
    <t>WHILE[#2LT#1]DO3</t>
  </si>
  <si>
    <t>Nickel, Unalloyed, &lt; 500 N/mm2</t>
  </si>
  <si>
    <t>Gjutjärn, gråjärn, &lt; 500 N/mm2</t>
  </si>
  <si>
    <t>Hur man använder programmet</t>
  </si>
  <si>
    <t>Fd = feed in center of mill (mm/min)</t>
  </si>
  <si>
    <t>T = time to mill the thread (seconds)</t>
  </si>
  <si>
    <t>Fz = feed/tooth (mm/tooth)</t>
  </si>
  <si>
    <t>rostfreier Stahl, ferritisch und austenitisch</t>
  </si>
  <si>
    <t>Axiell förfl.</t>
  </si>
  <si>
    <t>P = Steigung (TPI)</t>
  </si>
  <si>
    <t>CNC Programm für Fanuc</t>
  </si>
  <si>
    <t>CNC Programm für Siemens</t>
  </si>
  <si>
    <t>Register the cutter diameter in square 5, in square 6 the cutting length of the insert and in square 7 the number of inserts. If needed, the program will automatically produce the full length of thread in several passes.</t>
  </si>
  <si>
    <t>Tapered Threads</t>
  </si>
  <si>
    <t>Aluminium, legerat, &lt; 10% Si</t>
  </si>
  <si>
    <t>Aluminium, legerat, &gt; 10% Si</t>
  </si>
  <si>
    <t>Grafit</t>
  </si>
  <si>
    <t>M - Metrico</t>
  </si>
  <si>
    <t>Nickel, legerat, &lt; 1250 N/mm2</t>
  </si>
  <si>
    <t>Fz = avance/labio (mm/labio)</t>
  </si>
  <si>
    <t>N = velocidad de giro (v/min)</t>
  </si>
  <si>
    <t>Hierro fundido, graf. esfer., maleable, &lt;700 N/mm2</t>
  </si>
  <si>
    <t>Hierro fundido, graf. esfer., maleable, &lt;1000 N/mm2</t>
  </si>
  <si>
    <t>Werkzeug-Kompensation</t>
  </si>
  <si>
    <t>The program will automatically produce the thread in several steps if a thread mill has shorter cutting length than the requested length.</t>
  </si>
  <si>
    <t>¿Cómo se usa este programa?</t>
  </si>
  <si>
    <t>Konische Gewinde</t>
  </si>
  <si>
    <t>S = Sicherheitsabstand (mm)</t>
  </si>
  <si>
    <t>l = Schneidelänge des Fräsers (mm)</t>
  </si>
  <si>
    <t>Udfyld fræserkroppens skærediameter i rubrik 5, angiv vendeskærets skærekantslængde i rubrik 6 og angiv antal skær i rubrik 7. Ved behov vil programmet automatisk udføre gevindet i flere overløb axialt.</t>
  </si>
  <si>
    <t>Konisk gevind</t>
  </si>
  <si>
    <t>Wählen Sie zuerst Sprache auf der rechten Seite ganz unten und danach die gewünschten Alternativen in den Pulldown-Menüs und füllen Sie die vier ersten Kästchen ein. Mit Hilfe dieser Information zeigt das Programm im letzten Pulldown-Menü Vorschläge von geeigneten Werkzeugen. Nachdem Sie ein Werkzeug gewählt haben, erhalten Sie vom Programm Information über das Werkzeug, empfohlene Schnittdaten und die erforderliche Zeit, um das Gewinde zu schneiden. Außerdem wird das CNC-Programm gezeigt. Dies kann herauskopiert und in Ihre CNC-Datei eingefügt werden. Die übrigen sechs Kästchen werden nur eingefüllt, falls Sie die Vorschläge nicht akzeptieren.</t>
  </si>
  <si>
    <t>Cobre, bronze de alta resistencia, &lt; 1500 N/mm2</t>
  </si>
  <si>
    <t>Mit diesem Programm wird die Werkzeug-Kompensation nur für kleinere Verstellungen verwendet. Dies beseitigt Probleme, die entstehen können wenn man Radiuskorrekturen bei kurzen Verfahrwegen verwendet. Geben Sie daher einen Wert nahe an 0 für den Fräser-Durchmesser in der Werkzeug-Bibliothek am Steuersystem an.</t>
  </si>
  <si>
    <t>Korrekter Gewinde-Durchmesser direkt</t>
  </si>
  <si>
    <t>Spezialwerkzeuge</t>
  </si>
  <si>
    <t>Stahl, Kohlenstoffgehalt 0,55-0,85%, &lt; 850 N/mm2</t>
  </si>
  <si>
    <t>L / d</t>
  </si>
  <si>
    <t>L/d</t>
  </si>
  <si>
    <t>Verklig L</t>
  </si>
  <si>
    <t xml:space="preserve">If you are using a tool which is not in the list then you can enter cutter diameter, length of cutting edge and number of flutes in square 5-7. </t>
  </si>
  <si>
    <t>Acero, aleado alto, &lt; 1200 N/mm2</t>
  </si>
  <si>
    <t>Acero, templado, &lt; 45 HRC</t>
  </si>
  <si>
    <t>The mentioned cutting data are only recommended starting values. There are many things that can affect so it will be necessary to make adjustments, for example, machine stability, tooling equipment etc. SmiCut does not take any responsibility for damages that can occur when using the CNC program or cutting data recommended by the software.</t>
  </si>
  <si>
    <t>The pitch diameter have been optically messured on thread mills from SmiCut and the theoretical external diameter has been individually laser market on each cutter. This measurement shall be noted in the square beside cutter diameter (square 5). You will most probably get a correct thread straight away. In case you need to make adjustments you can do this in the same square or in the tooling library of the control system.</t>
  </si>
  <si>
    <t>Microfräsar</t>
  </si>
  <si>
    <t>El diámetro del corte será el diente que está más cerca del mango. Por eso,  el diámetro de la rosca debe estar al mismo nivel del diente empleado para el diámetro del corte.</t>
  </si>
  <si>
    <t>Wie man dieses Programm verwendet</t>
  </si>
  <si>
    <t>Nickel, Alloyed, &lt; 900 N/mm2</t>
  </si>
  <si>
    <t>CNC program for Fanuc</t>
  </si>
  <si>
    <t>M-Metrisk</t>
  </si>
  <si>
    <t>BSPT - konisk rørgevind</t>
  </si>
  <si>
    <t>NPT - Konisk rørgevind</t>
  </si>
  <si>
    <t>NPTF - dryseal - konisk rørgevind</t>
  </si>
  <si>
    <t>NPSF - rørgevind</t>
  </si>
  <si>
    <t>PG - Panserrørgevind</t>
  </si>
  <si>
    <t>Stål, m/lav kulindhold, &lt; 0,25% C, &lt; 400 N/mm2</t>
  </si>
  <si>
    <t>CNC Programm für Mazak</t>
  </si>
  <si>
    <t>CNC Programm für Mitsubishi</t>
  </si>
  <si>
    <t>11, 1 pass Fanuc</t>
  </si>
  <si>
    <t>Si la herramienta tiene una longitud de corte más corta que la longitud de la rosca, el programa automáticamente va a hacer la rosca en suficientes pasadas axiales.</t>
  </si>
  <si>
    <t>Pon el diámetro del corte del cuerpo en cuadro 5, pon la longitud del corte de la plaquita en cuadro 6 y pon número de labios en cuadro 7. Si es necesario el programa va a hacer automáticamente la rosca en varias pasadas axiales.</t>
  </si>
  <si>
    <t>PG - Panzerrohrgewinde</t>
  </si>
  <si>
    <t>Titanium, legeret, &lt; 900 N/mm2</t>
  </si>
  <si>
    <t>Titanium, legeret, &lt; 1250 N/mm2</t>
  </si>
  <si>
    <t>Nikkel, ulegeret, &lt; 700 N/mm2</t>
  </si>
  <si>
    <t>Nikkel, legeret, &lt; 900 N/mm2</t>
  </si>
  <si>
    <t>N = omdrejninger, spindel (omdr./min.)</t>
  </si>
  <si>
    <t>FD = tilspænding, gevind diameter</t>
  </si>
  <si>
    <t>Fd = tilspænding, v/center af fræser</t>
  </si>
  <si>
    <t>T = Indgrebstid (sekunder)</t>
  </si>
  <si>
    <t>CNC program til Fanuc</t>
  </si>
  <si>
    <t>CNC program til Siemens</t>
  </si>
  <si>
    <t>CNC program til Num</t>
  </si>
  <si>
    <t>CNC program til Fagor</t>
  </si>
  <si>
    <t>CNC program til Mazak</t>
  </si>
  <si>
    <t>CNC program til Mitsubishi</t>
  </si>
  <si>
    <t>Læs før anvendelse!</t>
  </si>
  <si>
    <t>Advarsel</t>
  </si>
  <si>
    <t>Anzahl Durchgänge, radial (max. 3)</t>
  </si>
  <si>
    <t>Herramientas con cinturón</t>
  </si>
  <si>
    <t>.</t>
  </si>
  <si>
    <t>Hvordan anvendes programmet</t>
  </si>
  <si>
    <t>M - Metric</t>
  </si>
  <si>
    <t>Anzahl Durchgänge, axial</t>
  </si>
  <si>
    <t>Specialværktøj</t>
  </si>
  <si>
    <t>Choose a language furthest down on the right side and make your choices in the drop downs and fill in the first four squares. By filling in sufficient information the program will present a recommended range of milling cutters. When you have chosen one of the cutters, information will be shown about the cutter including recommended cutting data and the time to produce the thread. The complete CNC program will also be shown. The CNC program can be copied and pasted into your CNC file. The other six squares shall only be completed if you do not accept the recommended.</t>
  </si>
  <si>
    <t>Please read before use!</t>
  </si>
  <si>
    <t xml:space="preserve">Die angegebenen Schneidedaten sind nur empfohlene Startwerde. Es sind viele Faktoren, die Justierungen erforderlich machen können, z.B. die Stabilität der Maschine, die Werkzeugausrüstung etc. SmiCut haftet nicht für Schäden die entstehen können, wenn das CNC-Programm oder die Schneidedaten der Software verwendet werden. </t>
  </si>
  <si>
    <t>Stahl, gerhärtet, &lt; 65 HRC</t>
  </si>
  <si>
    <t>Stål, m/middel kulindhold, &lt; 0,55% C, &lt; 700 N/mm2</t>
  </si>
  <si>
    <t>Stål, m/høj kulindhold, &lt; 0,85% C, &lt; 850N/mm2</t>
  </si>
  <si>
    <t>Stål, lavt legeret, &lt; 850 N/mm2</t>
  </si>
  <si>
    <t>Stål, højt legeret, &lt; 1200 N/mm2</t>
  </si>
  <si>
    <t>Stål, hærdet, &lt; 45 HRC</t>
  </si>
  <si>
    <t>Stål, hærdet, &lt; 55 HRC</t>
  </si>
  <si>
    <t>Stål, hærdet, &lt; 65 HRC</t>
  </si>
  <si>
    <t>Støbegods GG, &lt; 500N/mm2</t>
  </si>
  <si>
    <t>Ståbegods GG, &lt; 1000N/mm2</t>
  </si>
  <si>
    <t>Støbegods GGG, &lt; 700N/mm2</t>
  </si>
  <si>
    <t>Støbegods GGG, &lt; 1000N/mm2</t>
  </si>
  <si>
    <t>Rustfrit automatstål</t>
  </si>
  <si>
    <t>Rustfrit stål, Austenitisk</t>
  </si>
  <si>
    <t>Rustfrit stål, ferritisk/austenitisk</t>
  </si>
  <si>
    <t>Titanium, ulegeret, &lt; 700 N/mm2</t>
  </si>
  <si>
    <t>Mainitud lõikeandmed on ainult soovituslikud töö alustamiseks. On mitmeid tegureid mis võivad andmeid mõjutada, seega võib tekkida vajadus teha parandusi, näiteks stabiilsus, tööriistad, jne. SmiCut ei vastuta kahjude eest mis võivad tekkida kasutades CNC programmi või programmi poolt soovitatud lõikeandmeid.</t>
  </si>
  <si>
    <t>Kuidas kasutada programmi</t>
  </si>
  <si>
    <t>Fd = avanzamento al centro della fresa (mm/min)</t>
  </si>
  <si>
    <t>T = tempo di esecuzione del filetto(secondi)</t>
  </si>
  <si>
    <t>Programma CNC per Fanuc</t>
  </si>
  <si>
    <t>Programma CNC per Siemens</t>
  </si>
  <si>
    <t>Værktøj med skaftreduktion</t>
  </si>
  <si>
    <t>Titan, legiert, &lt; 1250 N/mm2</t>
  </si>
  <si>
    <t>Grafito</t>
  </si>
  <si>
    <t>Aluminium, olegerat</t>
  </si>
  <si>
    <t>Aluminium, legerat, &lt; 0.5% Si</t>
  </si>
  <si>
    <t>l = fræserens skærekantslængde (mm)</t>
  </si>
  <si>
    <t>z = antal skær</t>
  </si>
  <si>
    <t>V = skærehastighed (m/min)</t>
  </si>
  <si>
    <t>Fz = tilspænding/tand (mm/tand)</t>
  </si>
  <si>
    <t>antal overløb, radialt (max. 3)</t>
  </si>
  <si>
    <t xml:space="preserve">antal overløb, axialt </t>
  </si>
  <si>
    <t>Il diametro massimo della fresa a filettare è stato misurato otticamente da Smicut ed il diametro esterno teorico è stato marcato a laser su ogni fresa. Questa misura può essere annotata nel riquadro n.5. ottenendo subito un filetto corretto. Nel caso dobbiate fare registrazioni, le potete fare nello stesso riquadro o nella libreria utensili del sistema di controllo.</t>
  </si>
  <si>
    <t>Nikkel, Legeeritud, &lt; 1250 N/mm3</t>
  </si>
  <si>
    <t>Vask, Mittelegeeritud, &lt; 350 N/mm3</t>
  </si>
  <si>
    <t>Vask, Messing, Pronks, &lt; 700 N/mm3</t>
  </si>
  <si>
    <t>Vask, Suure Tugevusega Pronks, &lt; 1500 N/mm3</t>
  </si>
  <si>
    <t>Alumiinium, Mittelegeeritud</t>
  </si>
  <si>
    <t>Alumiinium, Legeeritud, &lt; 0.5% Si</t>
  </si>
  <si>
    <t>Stahl, Kohlenstoffgehalt &lt; 0,25%, &lt; 400 N/mm2</t>
  </si>
  <si>
    <t>NPT - Koonus torukeere</t>
  </si>
  <si>
    <t>Alumiinium, Legeeritud, &lt; 10% Si</t>
  </si>
  <si>
    <t>Alumiinium, Legeeritud, &gt; 10% Si</t>
  </si>
  <si>
    <t>Inkonell 718</t>
  </si>
  <si>
    <t>Grafiit</t>
  </si>
  <si>
    <t>D = keerme diameeter (mm)</t>
  </si>
  <si>
    <t>Teras, Karastatud, &lt; 55 HRC</t>
  </si>
  <si>
    <t>Teras, Karastatud, &lt; 65 HRC</t>
  </si>
  <si>
    <t>Malm, Libleline Grafiit, &lt; 500 N/mm3</t>
  </si>
  <si>
    <t>Malm, Libleline Grafiit, &lt; 1000 N/mm3</t>
  </si>
  <si>
    <t>Malm, Keragrafiit, Tempermalm, &lt; 700 N/mm3</t>
  </si>
  <si>
    <t>Märgi freesi läbimõõt lahtrisse5, lahtrisse 6 plaadi lõikepikkus ja lahtrisse 7 plaatide arv. Vajadusel sooritab programm mitu tsüklit, et saavutada vajalik keerme pikkus.</t>
  </si>
  <si>
    <t>Malm, Keragrafiit, Tempermalm, &lt; 1000 N/mm3</t>
  </si>
  <si>
    <t>Roostevabateras, Hea Lõiketöödelduvusega</t>
  </si>
  <si>
    <t>Roostevabateras, Austeniitne</t>
  </si>
  <si>
    <t>Teras, Kõrglegeeritud sulam, &lt; 1200 N/mm3</t>
  </si>
  <si>
    <t>Teras, Karastatud, &lt; 45 HRC</t>
  </si>
  <si>
    <t>Titaan, Mittelegeeritud, &lt; 700 N/mm3</t>
  </si>
  <si>
    <t>Indvendig gevindfræsning i Maskincenter</t>
  </si>
  <si>
    <t>Indvendig gevindfræsning m/drevne værktøjer</t>
  </si>
  <si>
    <t>Titanium, ongelegeerd, &lt; 700 N/mm2</t>
  </si>
  <si>
    <t>Titanium, gelegeerd, &lt; 900 N/mm2</t>
  </si>
  <si>
    <t>Programma CNC per Mitsubishi</t>
  </si>
  <si>
    <t>Hvis værktøjet har en kortere skærekantslængde end gevindlængden vil programmet automatisk lave gevindet i flere overløb axialt.</t>
  </si>
  <si>
    <t>Vendeskærs gevindfræser</t>
  </si>
  <si>
    <t>Vali keel alt paremast nurgast, tee valikud rippmenüüdest ja täida neli esimest lahtrit. Sisestades piisavalt andmeid kuvab programm soovitusliku valiku freese. Kui oled valinud ühe freesidest, kuvatakse andmed freesist kaasa arvatud soovituslikud lõike andmed ja töö kestvuse. Täielik CNC programm on ka nähtaval ja selle saab lihtsalt kopeerida CNC faili. Ülejäänud kuus lahtrit täidetakse ainult juhul kui soovituslikud andmed ei ole sobivad.</t>
  </si>
  <si>
    <t>Instrumendi kompenseerimine</t>
  </si>
  <si>
    <t>Programma CNC per Fagor</t>
  </si>
  <si>
    <t>Programma CNC per Mazak</t>
  </si>
  <si>
    <t>Fd = Vorschub im Fräser-Zentrum (mm/min)</t>
  </si>
  <si>
    <t>T = Zeit zum Fräsen des Gewindes (sek)</t>
  </si>
  <si>
    <t>L = thread length (mm)</t>
  </si>
  <si>
    <t>S = safety distance (mm)</t>
  </si>
  <si>
    <t>Korrekt gevinddiameter - første gang</t>
  </si>
  <si>
    <t>Programm sooritab automaatselt keermestuse mitmes järgus juhul kui freesil on lühem lõike pikkus kui soovitud keerme pikkus.</t>
  </si>
  <si>
    <t>P = tipo de rosca (TPI)</t>
  </si>
  <si>
    <t xml:space="preserve">Med dette program anvendes værktøjskompensering kun til mindre justeringer. Dette vil elimenere de problemer som kan opstå hvis der anvendes radialkompensering på små forskydninger. Angiv derfor en værdi nær 0 for fræserens diameter i værktøjsbiblioteket på styresystemet. </t>
  </si>
  <si>
    <t>Numero di passate, radiali (max 3)</t>
  </si>
  <si>
    <t>Numero di  passate, assiali</t>
  </si>
  <si>
    <t>N = Rotazione mandrino (rpm)</t>
  </si>
  <si>
    <t>Hvis der vælges et standardværktøj med en eller to tænder, type NM, vil programmet automatisk skabe en cyklus som laver en spiral indtil gevindet er færdigt. Hvis der ønskes en lignende cyklus med et andet værktøj skal stigningen angives som fræserens skærekantslængde i rubrik 6.</t>
  </si>
  <si>
    <t>In questo programma, la compensazione è  usata solo per piccole registrazioni.  Questo eliminerà problemi che possono verificarsi quando si usa una compensazione  del raggio in movimenti corti. Scegliete pertanto un valore vicino allo zero per diametro tagliente nella libreria del sistema di controllo.</t>
  </si>
  <si>
    <t>Diametro di filettatura corretto già pronto</t>
  </si>
  <si>
    <t>Se state usando un utensile che non è elencato, dovete inserire il diametro fresa, la lunghezza tagliente ed il numero dei taglienti nei riquadri 5, 6 e 7.</t>
  </si>
  <si>
    <t>Frese a filettare con solo uno o due denti</t>
  </si>
  <si>
    <t>Läbimite arv, aksiaalne</t>
  </si>
  <si>
    <t>N = spindli pöörete arv (rpm)</t>
  </si>
  <si>
    <t>FD = ettenihe keerme diameetril (mm/min)</t>
  </si>
  <si>
    <t>Fd = ettenihe freesi keskmes (mm/min)</t>
  </si>
  <si>
    <t>Roostevabateras, Ferriitne ja Austeniitne</t>
  </si>
  <si>
    <t>Nikkel, Mittelegeeritud, &lt; 500 N/mm3</t>
  </si>
  <si>
    <t>Nikkel, Legeeritud, &lt; 900 N/mm3</t>
  </si>
  <si>
    <t>Utensili non in lista o speciali</t>
  </si>
  <si>
    <t>T = aeg keerme freesimiseks (seconds)</t>
  </si>
  <si>
    <t>CNC programm Fanuc</t>
  </si>
  <si>
    <t>CNC programm Siemens</t>
  </si>
  <si>
    <t>CNC programm Num</t>
  </si>
  <si>
    <t>CNC programm Fagor</t>
  </si>
  <si>
    <t>CNC programm Mazak</t>
  </si>
  <si>
    <t>CNC programm Mitsubishi</t>
  </si>
  <si>
    <t>Gietijzer, Lamellair grafiet, &lt; 1000 N/mm2</t>
  </si>
  <si>
    <t>Titaan, Legeeritud, &lt; 1250 N/mm3</t>
  </si>
  <si>
    <t>Freesi läbimõõt on väikseim kohe peale viimast täis keeret. Seetõttu on vajalik märkida keerme läbimõõt kohalt kus just see freesi koht töötab.</t>
  </si>
  <si>
    <t>tagasi</t>
  </si>
  <si>
    <t>Romana</t>
  </si>
  <si>
    <t>Filettatura interna con fresa in centro di lavoro</t>
  </si>
  <si>
    <t>Filettatura interna con fresa in tornio con contropunta</t>
  </si>
  <si>
    <t>NPTF</t>
  </si>
  <si>
    <t>PG</t>
  </si>
  <si>
    <t>Acciai con basso tenore di carbonio, &lt; 0,25% C, &lt; 400 N/mm3</t>
  </si>
  <si>
    <t>Acciai con medio tenore di carbonio, &lt; 0,55% C, &lt; 700 N/mm3</t>
  </si>
  <si>
    <t>Titaan, Legeeritud, &lt; 900 N/mm3</t>
  </si>
  <si>
    <t>d = fræser diameter (mm)</t>
  </si>
  <si>
    <t>Palun, loe enne kasutamist!</t>
  </si>
  <si>
    <t>Hoiatus!</t>
  </si>
  <si>
    <t xml:space="preserve">z = numero di taglienti </t>
  </si>
  <si>
    <t>Hvis det anvendte værktøj ikke findes på listen, kan du selv udfylde fræserens diameter, skærekantslængde og antal skær i rubrikkerne 5 - 7.</t>
  </si>
  <si>
    <t>Teras, Kesksüsinik, &lt; 0,55% C, &lt; 700 N/mm3</t>
  </si>
  <si>
    <t>Teras, Kõrgesüsinik, &lt; 0,85% C, &lt; 850 N/mm3</t>
  </si>
  <si>
    <t>Teras, Madallegeeritud sulam, &lt; 850 N/mm3</t>
  </si>
  <si>
    <t xml:space="preserve">Attenzione, leggere prima di usare </t>
  </si>
  <si>
    <t>Attenzione!</t>
  </si>
  <si>
    <t>Staal, gehard, &lt; 45 HRC</t>
  </si>
  <si>
    <t>Staal, gehard, &lt; 55 HRC</t>
  </si>
  <si>
    <t>I parametri di taglio consigliati sono valori di partenza. Ci sono molti fattori che possono influenzare, quindi è necessario operare correzioni, per esempio, stabilità della macchina, staffaggio e portautensile ecc. Smicut declina ogni responsabilità per eventuali danni procurati dall'uso del programma CNC e dai parametri di taglio consigliati.</t>
  </si>
  <si>
    <t>Come usare il programma</t>
  </si>
  <si>
    <t>Thread Mills with one or two teeth per flute</t>
  </si>
  <si>
    <t>Thread Mills with smaller waist</t>
  </si>
  <si>
    <t>Unlisted and Special Tooling</t>
  </si>
  <si>
    <t>Værktøjskompensering</t>
  </si>
  <si>
    <t>programm teeb automaatselt spiraali algusest kuni keere on valmis, kui valid standartse NM tüüpi freesi ühe või kahe hambaga. Kui tahad teha sama asja teise instrumendiga siis pead keerme sammu registreerima lõikeserva pikkusena lahtris 6.</t>
  </si>
  <si>
    <t>Keerme freesid ahendatud keskosaga</t>
  </si>
  <si>
    <t>L = comprimento da rosca (mm)</t>
  </si>
  <si>
    <t>S = distancia de segurança (mm)</t>
  </si>
  <si>
    <t>d = diâmetro de corte (mm)</t>
  </si>
  <si>
    <t>l = comprimento de corte da fresa (mm)</t>
  </si>
  <si>
    <t xml:space="preserve">Vælg sprog længst nede i højre hjørne og foretag derefter dine valg i rullegardinsmenuerne samt udfyld de første 4 rubrikker. Med denne information fremkommer et forslag i den sidste rullegardinsmenu med forslag på anvendelige værktøjer. Når du har valgt et værktøj fremkommer der information om værktøjet, de anbefalede skæredata samt den tid det vil tage at fremstille gevindet. Udover førnævnte fremkommer CNC programmet. Dette kan kopieres over i din CNC-fil. De øvrige ruder udfyldes kun, hvis ikke det fremkomne forslag kan accepteres. </t>
  </si>
  <si>
    <t>Sisekeerme freesimine freespingis</t>
  </si>
  <si>
    <t>Sisekeerme freesimine treipingis pöörleva instrumendiga</t>
  </si>
  <si>
    <t>M - Meeterkeere</t>
  </si>
  <si>
    <t>FD = avanzamento al diametro di filettatura (mm/min)</t>
  </si>
  <si>
    <t>Programma CNC per Num</t>
  </si>
  <si>
    <t>Fræserens diameter som angives, skal måles ved gevindet nærmest skaftet. Derfor skal gevindets diameter være den del af værktøjet som er i indgreb.</t>
  </si>
  <si>
    <t>tilbage</t>
  </si>
  <si>
    <t>NPTF - Kuivtihendus, Koonus torukeere</t>
  </si>
  <si>
    <t>NPSF - Torukeere</t>
  </si>
  <si>
    <t>Kobber, ulegeret, &lt; 350 N/mm2</t>
  </si>
  <si>
    <t>Kobber, Messing, Bronze, &lt; 700N/mm2</t>
  </si>
  <si>
    <t>Kobber, Bronze, høj brudstyrke, &lt; 1500 N/mm2</t>
  </si>
  <si>
    <t>Aluminium, ulegeret</t>
  </si>
  <si>
    <t>Aluminium, legeret, &lt; 0,5% Si</t>
  </si>
  <si>
    <t>Aluminium, legeret, &lt; 10% Si</t>
  </si>
  <si>
    <t>D = gevind diameter (mm)</t>
  </si>
  <si>
    <t>P = Stigning (TPI)</t>
  </si>
  <si>
    <t>L = gevind længde (mm)</t>
  </si>
  <si>
    <t>S.v.p. lezen voor gebruik</t>
  </si>
  <si>
    <t>S = Sikkerhedsafstand (mm)</t>
  </si>
  <si>
    <t>S = ohutus vahe (mm)</t>
  </si>
  <si>
    <t>d = freesi diameeter (mm)</t>
  </si>
  <si>
    <t>l = lõikeserva pikkus (mm)</t>
  </si>
  <si>
    <t>z = laastusoonte arv</t>
  </si>
  <si>
    <t>V = lõikekiirus (m/min)</t>
  </si>
  <si>
    <t>Alluminio legato, &lt; 0.5% Si</t>
  </si>
  <si>
    <t>Alluminio legato, &lt; 10% Si</t>
  </si>
  <si>
    <t>Alluminio legato, &gt; 10% Si</t>
  </si>
  <si>
    <t>Inconel 719</t>
  </si>
  <si>
    <t>Grafite</t>
  </si>
  <si>
    <t>D = diametro filettatura (mm)</t>
  </si>
  <si>
    <t>P = passo (mm)</t>
  </si>
  <si>
    <t>P = passo TPI (filetti per pollice)</t>
  </si>
  <si>
    <t>L =lunghezza filettatura (mm)</t>
  </si>
  <si>
    <t>S = distanza di sicurezza (mm)</t>
  </si>
  <si>
    <t>d = diametro fresa (mm)</t>
  </si>
  <si>
    <t>l = lunghezza tagliente (mm)</t>
  </si>
  <si>
    <t>Gietijzer, Lamellair grafiet, &lt; 500 N/mm2</t>
  </si>
  <si>
    <t>Ghisa, lamellare e grafitica, &lt; 500 N/mm3</t>
  </si>
  <si>
    <t>P = keermesamm (mm)</t>
  </si>
  <si>
    <t>P = keermesamm (TPI)</t>
  </si>
  <si>
    <t>L = keerme pikkus (mm)</t>
  </si>
  <si>
    <t>Nichel non legato, &lt; 500 N/mm3</t>
  </si>
  <si>
    <t>Nichel legato, &lt; 900 N/mm3</t>
  </si>
  <si>
    <t>Nichel legato, &lt; 1250 N/mm3</t>
  </si>
  <si>
    <t>Teras, Madalsüsinik, &lt; 0,25% C, &lt; 400 N/mm3</t>
  </si>
  <si>
    <t>Keerme frees vahetatavate plaatidega</t>
  </si>
  <si>
    <t>Fz = etteandmine/hammas (mm/tooth)</t>
  </si>
  <si>
    <t>Läbimite arv, radiaalne (max 3)</t>
  </si>
  <si>
    <t>Kooniline keere</t>
  </si>
  <si>
    <t>Il diametro tagliente di riferimento è sopra l'ultimo filetto completo vicino al codolo.E' pertanto necessario posizionare il diametro del filetto dove questa parte della fresa lavora.</t>
  </si>
  <si>
    <t>Indietro</t>
  </si>
  <si>
    <t>Inwendig draadsnijden op bewerkingscentrum</t>
  </si>
  <si>
    <t>BSPT - Tapered Pijpdraad</t>
  </si>
  <si>
    <t>NPT - Tapered Pijpdraad</t>
  </si>
  <si>
    <t>NPTF - Dryseal, Tapered Pijpdraad</t>
  </si>
  <si>
    <t>NPSF - Pijpdraad</t>
  </si>
  <si>
    <t>Staal ongelegeerd, &lt; 0,25% C, &lt; 400 N/mm2</t>
  </si>
  <si>
    <t>V = velocità di taglio (m/min)</t>
  </si>
  <si>
    <t>Fz = avanzamento per dente (mm/dente)</t>
  </si>
  <si>
    <t>Gietijzer, Nodulair Grap., smeedbaar, &lt; 700 N/mm2</t>
  </si>
  <si>
    <t>Gietijzer, Nodulair Grap., smeedbaar, &lt; 1000 N/mm2</t>
  </si>
  <si>
    <t>Roestvrijstaal, automatenstaal</t>
  </si>
  <si>
    <t>Roestvrijstaal, Austenitisch</t>
  </si>
  <si>
    <t>Roestvrijstaal, Ferritisch en Austenitisch</t>
  </si>
  <si>
    <t xml:space="preserve">Als u een standaard frees met één tand resp. twee tanden uitkiest (Type NM), zal het programma automatisch een cyclus  cyclus samenstellen, welke een spiraal genereerd waarbij de draad gereed is. Wilt u handmatig een cyclus met een ander gereedschap maken dan geeft u de spoed en de snijlengte aan in veld nr. 6. </t>
  </si>
  <si>
    <t>Gereedschappen met taille</t>
  </si>
  <si>
    <t>Als het gereedschap een kortere snijlengte heeft als de draadlengte, zal het programma automatisch het aantal noodzakelijke axiale doorgangen snijden.</t>
  </si>
  <si>
    <t>Draadfrezen met wisselplaten</t>
  </si>
  <si>
    <t>Staal,koolstofstaal, &lt; 0,85% C, &lt; 850 N/mm2</t>
  </si>
  <si>
    <t>Staal, gelegeerd, &lt; 850 N/mm2</t>
  </si>
  <si>
    <t>Staal, hooggelegeerd, &lt; 1200 N/mm2</t>
  </si>
  <si>
    <t>SmiCut'i keermefreeside keerme keskläbimõõt on optiliselt mõõdetud ja teoreetiline välisläbimõõt on igale freesile eraldi laseriga märgitud. See suurus tuleb märkida lahtrisse freesi läbimõõt (lahter 5). Enamusel juhtudest saad kohe õige keerme. Juhul kui on vaja teha muudatusi saad neid teha samas lahtris või töötlemis andmete kontroll süsteemis.</t>
  </si>
  <si>
    <t>Erilised ja spetsiaalsed seaded</t>
  </si>
  <si>
    <t>Hoe het programma te gebruiken</t>
  </si>
  <si>
    <t>P = tipo de rosca (mm)</t>
  </si>
  <si>
    <t>Digite o diâmetro de corte no quadrado nr:5, longitude de corte no quadrado nr:6 e quantidade de lábios no quadrado nr:7. Se necessário o programa automaticamente fará a fresa em mais etapas.</t>
  </si>
  <si>
    <t xml:space="preserve">De aangegeven snijgegevens zijn aanbevolen startgegevens. Er zijn verschillende factoren die deze waarden kunnen beïnvloeden, het is dus noodzakelijk aanpassingen te maken, bijvoorbeeld: machinestabiliteit, opnamegereedschap etc. Smicut neemt geen enkele verantwoording voor schade welke kan ontstaan door het gebruik van het CNC programma of snijgegevens aanbevolen door de software.  </t>
  </si>
  <si>
    <t>UN - Unifitseeritud keere</t>
  </si>
  <si>
    <t>BSPT - Koonus torukeere</t>
  </si>
  <si>
    <t>Frese a filettare corte</t>
  </si>
  <si>
    <t>Acciai con alto tenore di carbonio, &lt; 0,85% C, &lt; 850 N/mm3</t>
  </si>
  <si>
    <t>Acciai poco legati , &lt; 850 N/mm3</t>
  </si>
  <si>
    <t>Acciai alto legati , &lt; 1200 N/mm3</t>
  </si>
  <si>
    <t>Acciai temperati &lt; 45 HRC</t>
  </si>
  <si>
    <t>Acciai temperati , &lt; 55 HRC</t>
  </si>
  <si>
    <t>Nikkel, legeret, &lt; 1250M/mm2</t>
  </si>
  <si>
    <t>Scegliete  la lingua in basso sulla destra e fate le vostre scelte compilando i primi 4 riquadri. Subito il programma evidenzia una gamma di frese per filettare consigliata. Quando avete scelto una fresa compare l'informazione in merito all'utensile, ai parametri di taglio consigliati ed al tempo necessario per produrre il filetto. Il programma CNC viene inoltre mostrato per intero. Il programma  CNC può essere copiato e incollato nel vostro file CNC. Gli altri 6 riquadri possono essere compilati solo se non accettate quelli raccomandati.</t>
  </si>
  <si>
    <t>Compensazione utensile</t>
  </si>
  <si>
    <t>N = Toerental spindel (rpm)</t>
  </si>
  <si>
    <t>FD = voeding aan de draaddiameter diameter (mm/min)</t>
  </si>
  <si>
    <t>Fd = voeding in het centrum v/d frees (mm/min)</t>
  </si>
  <si>
    <t>T = tijd om de draad te frezen (seconden)</t>
  </si>
  <si>
    <t>CNC programma voor Fanuc</t>
  </si>
  <si>
    <t>CNC programma voor Siemens</t>
  </si>
  <si>
    <t>CNC programma voor Num</t>
  </si>
  <si>
    <t>CNC programma voor Fagor</t>
  </si>
  <si>
    <t>CNC programma voorMazak</t>
  </si>
  <si>
    <t>CNC programma voor Mitsubishi</t>
  </si>
  <si>
    <t>Il programma produrrà automaticamente il filetto in diverse passate se la fresa a filettare ha una lunghezza tagliente più corta della lunghezza richiesta.</t>
  </si>
  <si>
    <t>Ghisa,  lamellare e grafitica, &lt; 1000 N/mm3</t>
  </si>
  <si>
    <t>Ghisa, nodulare e malleabile, &lt; 700 N/mm3</t>
  </si>
  <si>
    <t>Ghisa, nodulare e malleabile, &lt; 1000 N/mm3</t>
  </si>
  <si>
    <t>Titânio, não alegado, &lt; 700 N/mm2</t>
  </si>
  <si>
    <t>Titânio, alegado, &lt; 900 N/mm2</t>
  </si>
  <si>
    <t>Titânio, alegado,&lt; 1250 N/mm2</t>
  </si>
  <si>
    <t>Níquel, não alegado, &lt; 500 N/mm2</t>
  </si>
  <si>
    <t>Níquel, alegado, &lt; 900 N/mm2</t>
  </si>
  <si>
    <t>Acciaio inossidabile di buona lavorabilità</t>
  </si>
  <si>
    <t>Acciaio inossidabile austenitico</t>
  </si>
  <si>
    <t>Rame non legato, &lt; 350 N/mm3</t>
  </si>
  <si>
    <t>Rame, ottone, bronzo, &lt; 700 N/mm3</t>
  </si>
  <si>
    <t>Rame, ottone molto legato, &lt; 1500 N/mm3</t>
  </si>
  <si>
    <t>Alluminio non legato</t>
  </si>
  <si>
    <t>Acciaio inossidabile ferritico ed austenitico</t>
  </si>
  <si>
    <t>Titanio non legato, &lt; 700 N/mm3</t>
  </si>
  <si>
    <t>Staal, Constructiestaal, &lt; 0,55% C, &lt; 700 N/mm2</t>
  </si>
  <si>
    <t>Draadfrezen met een tand / twee tanden (axiaal)</t>
  </si>
  <si>
    <t>In dit programma wordt compensatie alleen gebruikt voor het maken van kleine aanpassingen.Dit elimineert problemen welke zich voor kunnen doen als men radius compensatie gebruikt bij kleine bewegingen. Kies daarvoor een waarde vlak bij nul voor de freesdiameter in de gereedschapmap van het besturingssysteem.</t>
  </si>
  <si>
    <t>Correcte draadfreesdiameter direct</t>
  </si>
  <si>
    <t>Frese a filettare ad inserti  intercambiabili</t>
  </si>
  <si>
    <t>Staal, gehard, &lt; 65 HRC</t>
  </si>
  <si>
    <t>Selles programmis kasutatakse instrumendi kompenseerimist ainult väiksemateks muudatusteks. See kõrvaldab probleemid mis avalduvad kui kasutatakse raadiuse kompenseerimist lühikesel liikumisel. Seetõttu kasuta nulli lähedast väärtust freesil töötlemis andmete kontroll süsteemis.</t>
  </si>
  <si>
    <t>Õige keerme läbimõõt koheselt</t>
  </si>
  <si>
    <t>Kui kasutad instrumenti mis ei ole nimekirjas siis saad sisestada freesi läbimõõdu, pikkuse ja lõikeservade arvu lahtritesse 5-7.</t>
  </si>
  <si>
    <t>Freesid ühe või kahe hambaga lõikeserva kohta</t>
  </si>
  <si>
    <t>Escolha língua no canto direito embaixo e faça depois suas escolhas nas quatro linhas e preencha os quatro primeiros quadrados.Com a informação preenchida o programa recomendara materiais adequados. Quando você tiver escolhido o material que será usado, vários dados serão revelados, como: informações sobre o material; dados recomendados; quantidade de tempo para a peça ficar pronta e agora você pode também ver o programa que facilmente pode ser copiado para outro arquivo. Os outro seis quadrados só devem ser preenchidos se os dados recomendados não forem aceitos.</t>
  </si>
  <si>
    <t>CNC programa para Fagor</t>
  </si>
  <si>
    <t>CNC programa para Mazak</t>
  </si>
  <si>
    <t>CNC programa para Mitsubishi</t>
  </si>
  <si>
    <t>Leia antes de usar</t>
  </si>
  <si>
    <t>Atenção!</t>
  </si>
  <si>
    <t>Программа ЧПУ для Fagor</t>
  </si>
  <si>
    <t>Программа ЧПУ для Mazak</t>
  </si>
  <si>
    <t>Aluminium, gelegeerd, &gt; 10% Si</t>
  </si>
  <si>
    <t>Grafiet</t>
  </si>
  <si>
    <t>Il programma genera automaticamente una spirale dall'inizio fino alla fine del filetto quando scegliete una fresa Smicut tipo NM con uno o due denti. Se volete fare lo stesso con unaltro utensile, dovete registrare il passo come lunghezza di taglio nel riquadro 6.</t>
  </si>
  <si>
    <t>Koper, Brons, &lt; 700 N/mm2</t>
  </si>
  <si>
    <t>Koper, extra sterk Brons, &lt; 1500 N/mm2</t>
  </si>
  <si>
    <t>Aluminium, ongelegeerd</t>
  </si>
  <si>
    <t>Aluminium, gelegeerd, &lt; 0.5% Si</t>
  </si>
  <si>
    <t>Aluminium, gelegeerd, &lt; 10% Si</t>
  </si>
  <si>
    <t>Ferro fundido, lamina de grafite &lt; 1000 N/mm2</t>
  </si>
  <si>
    <t>Ferro fundido, graf. Esfer., maleável, &lt; 700 N/mm2</t>
  </si>
  <si>
    <t>Ferro fundido, graf. Esfer., maleável,&lt; 1000 N/mm2</t>
  </si>
  <si>
    <t>Inoxidável, fácil de mecanizar</t>
  </si>
  <si>
    <t>Inoxidável, austenitico</t>
  </si>
  <si>
    <t>Inoxidável, ferritico e austenitico</t>
  </si>
  <si>
    <t>Níquel, alegado, &lt; 1250 N/mm2</t>
  </si>
  <si>
    <t>Cobre, não alegado, &lt; 350 N/mm2</t>
  </si>
  <si>
    <t>Cobre, lata, bronze, &lt; 700 N/mm2</t>
  </si>
  <si>
    <t>Cobre, bronze de alta resistência, &lt; 1500 N/mm2</t>
  </si>
  <si>
    <t>Alumínio, não alegado</t>
  </si>
  <si>
    <t>Acciai temperati , &lt; 65 HRC</t>
  </si>
  <si>
    <t>Kies een gebruikerstaal rechts onderaan het drop-down menu en vul vervolgens de de eerste vier vakken in. Met behulp van deze informatie zal het programma een aanbevolen lijst van frezen presenteren. Als u een van de frezen kiest zal informatie over de frees worden getoond inclusief aanbevolen snijgegevens en tijd om de draad te produceren. Het complete CNC programma zal ook getoond worden. Het CNC programma kan door kopieren en plakken in uw CNC file worden ingelezen. De andere 6 velden worden alleen gevuld als u de aangeboden gegevens niet accepteert.</t>
  </si>
  <si>
    <t>Gereedschap compensatie</t>
  </si>
  <si>
    <t>Titanio legato, &lt; 900 N/mm3</t>
  </si>
  <si>
    <t>Titanio legato, &lt; 1250 N/mm3</t>
  </si>
  <si>
    <t>NPTF – сухая, коническая трубная резьба</t>
  </si>
  <si>
    <t>NPSF – трубная резьба</t>
  </si>
  <si>
    <t>PG – резьба из армированного материала</t>
  </si>
  <si>
    <t>Сталь, низкоуглеродистая, &lt; 0,25% С, &lt; 400 Н/мм2</t>
  </si>
  <si>
    <t>Сталь, высокоуглеродистая, &lt; 0,85% С, &lt; 850 Н/мм2</t>
  </si>
  <si>
    <t>Сталь, низколегированный сплав, &lt; 850 Н/мм2</t>
  </si>
  <si>
    <t>Сталь, высоколегированный сплав, &lt; 1200 Н/мм2</t>
  </si>
  <si>
    <t>Сталь, закаленная, &lt; 45 HRC (твёрдость по шкале С Роквелла)</t>
  </si>
  <si>
    <t>Сталь, закаленная, &lt; 55 HRC (твёрдость по шкале С Роквелла)</t>
  </si>
  <si>
    <t>Scrivete il diametro della fresa nel riquadro 5, nel riquadro 6 la lunghezza filettata dell'inserto e nel riquadro 7 il numero degli inserti.Se richiesto, il programma produrrà automaticamente l'intera lunghezza della filettatura con diverse passate.</t>
  </si>
  <si>
    <t>Filettature coniche</t>
  </si>
  <si>
    <t>Numero de passadas, radial (max 3)</t>
  </si>
  <si>
    <t>Numero de passadas, axial</t>
  </si>
  <si>
    <t>N = Velocidade de giro (v/min)</t>
  </si>
  <si>
    <t>T = tempo para fresar a rosca (segundos)</t>
  </si>
  <si>
    <t>CNC programa para Fanuc</t>
  </si>
  <si>
    <t>低炭素鋼, &lt; 0,25% C, &lt; 400 N/mm2</t>
  </si>
  <si>
    <t>Aan de frezen van SmiCut zijn de doorsnede-diameter optisch gemeten, waarna de theoretische buitendiameter op de frees met een laser gemarkeerd is.Deze maat zou in het ingave veld naast de freesdiameter (Veldnr. 5) moeten worden ingegeven. Hoogstwaarschijnlijk zult u direct een correcte draad verkrijgen. Als nadien verdere afstemmingen noodzakelijk zijn dan kunt u deze nogmaals in dit veld aanpassen of in de gereedschapsmap van het besturingssysteem.</t>
  </si>
  <si>
    <t>Speciaalgereedschap</t>
  </si>
  <si>
    <t>Als het gebruikte gereedschap niet in de lijst voorkomt kunt u zelf de freesdiameter, snijlengte van de frees en het aantal snijkanten in de velden 5-7 invoeren.</t>
  </si>
  <si>
    <t>Se uma fresa Standard com um ou dois dentes é escolhida, por exemplo NM, automaticamente o programa acrescenta um ciclo que faz um espiral até que a rosca esteja pronta. Se você quiser um ciclo parecido em outro tipo de fresa, digite o tipo de rosca (ISO, Whitworth, etc.), no mesmo quadrado que longitude de corte (quadrado nr:6).</t>
  </si>
  <si>
    <t>Fresas com cintura</t>
  </si>
  <si>
    <t>CNC programa para Siemens</t>
  </si>
  <si>
    <t>CNC programa para Num</t>
  </si>
  <si>
    <t>Se o material desejado não tem na lista sugerida você pode preencher o diâmetro de corte, longitude de corte e quantidade de lábios nos quadrados 5 à 7.</t>
  </si>
  <si>
    <t>Fresas com um ou dois dentes (na longitude)</t>
  </si>
  <si>
    <t>Aço, carbono baixo , &lt; 0,25% C, &lt; 400 N/mm2</t>
  </si>
  <si>
    <t>Aço, carbono médio, &lt; 0,55% C, &lt; 700 N/mm2</t>
  </si>
  <si>
    <t>G - Whitworth rörgänga</t>
  </si>
  <si>
    <t>Certo diâmetro diretamente</t>
  </si>
  <si>
    <t>Innvendig gjengefresing i fresemaskin</t>
  </si>
  <si>
    <t>Innvendig gjengefresing i dreiebenk med drevne verktøy</t>
  </si>
  <si>
    <t>D = draad diameter (mm)</t>
  </si>
  <si>
    <t>P = spoed (mm)</t>
  </si>
  <si>
    <t>Compensação do material</t>
  </si>
  <si>
    <t>Русский (ryska)</t>
  </si>
  <si>
    <t>Titanium, gelegeerd, &lt; 1250 N/mm2</t>
  </si>
  <si>
    <t>Nikkel, ongelegeerd, &lt; 500 N/mm2</t>
  </si>
  <si>
    <t>Nikkel, gelegeerd, &lt; 900 N/mm2</t>
  </si>
  <si>
    <t>Nikkel, gelegeerd, &lt; 1250 N/mm2</t>
  </si>
  <si>
    <t>Koper, ongelegeerd, &lt; 350 N/mm2</t>
  </si>
  <si>
    <t>Aço, alegado baixo,  &lt; 850 N/mm2</t>
  </si>
  <si>
    <t>Stål, høylegert, &lt;1200N/mm2</t>
  </si>
  <si>
    <t>Stål, herdet, &lt;45HRC</t>
  </si>
  <si>
    <t>Stål, herdet, &lt; 55HRC</t>
  </si>
  <si>
    <t>Aço, alegado alto,  &lt; 1200 N/mm2</t>
  </si>
  <si>
    <t>Stål, herdet, &lt; 65HRC</t>
  </si>
  <si>
    <t>Støpejern, &lt;500N/mm2</t>
  </si>
  <si>
    <t>Aço, templado, &lt; 45 HRC</t>
  </si>
  <si>
    <t>Aço, templado, &lt; 55 HRC</t>
  </si>
  <si>
    <t>Aço, templado, &lt; 65 HRC</t>
  </si>
  <si>
    <t>Ferro fundido, lamina de grafite, &lt; 500 N/mm2</t>
  </si>
  <si>
    <t>PG - Panserrørgjenge</t>
  </si>
  <si>
    <t>Neste programa a compensação do material só é usada em casos de ajustamentos pequenos. Isto eliminará problemas que podem ocorrer quando se usa compensação radial para movimentos curtos. Ponha por isso um valor prócimo a zero na bibliotéca do controle numérico..</t>
  </si>
  <si>
    <t>Nas fresas de rosca da SmiCut o diâmetro médio é medido opticamente e o diâmetro teórico imprimido com lazer na fresa. O valor imprimido deve ser digitado no quadrado nr:5, ao lado do diâmetro de trabalho da fresa. A probabilidade da rosca ser correta já de inicio é grande. No caso de você precisar fazer algum ajustamento é só mudar de novo o quadrado nr:5 ou na biblioteca do controle numérico.</t>
  </si>
  <si>
    <t>Сталь, закаленная, &lt; 65 HRC (твёрдость по шкале С Роквелла)</t>
  </si>
  <si>
    <t>Чугун, пластинчатый графит, &lt; 500 Н/мм2</t>
  </si>
  <si>
    <t>Чугун, пластинчатый графит, &lt; 1000 Н/мм2</t>
  </si>
  <si>
    <t>Чугун, сфероидальный графит, ковкий, &lt; 700 Н/мм2</t>
  </si>
  <si>
    <t>Чугун, сфероидальный графит, ковкий, &lt; 1000 Н/мм2</t>
  </si>
  <si>
    <t>Konische draad</t>
  </si>
  <si>
    <t>Медь, высокопрочная бронза, &lt; 1500 Н/мм2</t>
  </si>
  <si>
    <t>Алюминий, беспримесный</t>
  </si>
  <si>
    <t>Алюминий, сплавной, &lt; 0,5% Si</t>
  </si>
  <si>
    <t>Алюминий, сплавной, &lt; 10% Si</t>
  </si>
  <si>
    <t>Алюминий, сплавной, &gt; 10% Si</t>
  </si>
  <si>
    <t>Инконель 718</t>
  </si>
  <si>
    <t>Графит</t>
  </si>
  <si>
    <t>D = диаметр резьбы (мм)</t>
  </si>
  <si>
    <t>P = шаг (мм)</t>
  </si>
  <si>
    <t>d = диаметр резака (мм)</t>
  </si>
  <si>
    <t>l = длина режущего края (мм)</t>
  </si>
  <si>
    <t>z = количество бороздок</t>
  </si>
  <si>
    <t>V = скорость резки (м/мин.)</t>
  </si>
  <si>
    <t>Fz = подача/зубец (мм/зубец)</t>
  </si>
  <si>
    <t>CNC program for Mazakj</t>
  </si>
  <si>
    <t>Количество прогонов, радиальных (макс. 3)</t>
  </si>
  <si>
    <t>Количество прогонов, осевых</t>
  </si>
  <si>
    <t>N = скорость вращения шпинделя (об./мин.)</t>
  </si>
  <si>
    <t>FD = подача при диаметре резьбы (мм/мин.)</t>
  </si>
  <si>
    <t>Fd = подача в центре фрезы (мм/мин.)</t>
  </si>
  <si>
    <r>
      <t xml:space="preserve">P = </t>
    </r>
    <r>
      <rPr>
        <sz val="9"/>
        <rFont val="돋움"/>
        <family val="3"/>
      </rPr>
      <t>피치</t>
    </r>
    <r>
      <rPr>
        <sz val="9"/>
        <rFont val="Verdana"/>
        <family val="2"/>
      </rPr>
      <t xml:space="preserve"> (mm)</t>
    </r>
  </si>
  <si>
    <r>
      <t xml:space="preserve">P = </t>
    </r>
    <r>
      <rPr>
        <sz val="9"/>
        <rFont val="돋움"/>
        <family val="3"/>
      </rPr>
      <t>피치</t>
    </r>
    <r>
      <rPr>
        <sz val="9"/>
        <rFont val="Verdana"/>
        <family val="2"/>
      </rPr>
      <t xml:space="preserve"> (TPI)</t>
    </r>
  </si>
  <si>
    <t>Программа ЧПУ для Mitsubishi</t>
  </si>
  <si>
    <t>FD = avance em Øda rosca (mm/min)</t>
  </si>
  <si>
    <t>Fd = avance centro da fresa (mm/min)</t>
  </si>
  <si>
    <t>ＮＰＳＦ管用ねじ</t>
  </si>
  <si>
    <t>ＰＧねじ</t>
  </si>
  <si>
    <t>高炭素鋼, &lt; 0,85% C, &lt; 850 N/mm2</t>
  </si>
  <si>
    <t>低合金鋼, &lt; 850 N/mm2</t>
  </si>
  <si>
    <t>Se a fresa tiver uma longitude de corte que seja mais curta do que a longitude da rosca, o programa automaticamente fará o certo número de roscas.</t>
  </si>
  <si>
    <t>Fresas com placas</t>
  </si>
  <si>
    <t>Alumínio, alegado, &lt; 0.5% Si</t>
  </si>
  <si>
    <t>Alumínio, alegado, &lt; 10% Si</t>
  </si>
  <si>
    <t>Alumínio, alegado &gt; 10% Si</t>
  </si>
  <si>
    <t>D = diâmetro da rosca (mm)</t>
  </si>
  <si>
    <t>z = quantidade de lábios</t>
  </si>
  <si>
    <t>V = velocidade de corte (m/min)</t>
  </si>
  <si>
    <t>Сталь, среднеуглеродистая, &lt; 0,55% С, &lt; 700 Н/мм2</t>
  </si>
  <si>
    <t>Ｓ＝安全な距離（㎜）</t>
  </si>
  <si>
    <t>パス回数、ラジアル方向（最大３）</t>
  </si>
  <si>
    <t>中炭素鋼、 &lt; 0,55% C, &lt; 700 N/mm2</t>
  </si>
  <si>
    <t>高合金鋼, &lt; 1200 N/mm2</t>
  </si>
  <si>
    <t>焼き入れ鋼, &lt; 45 HRC</t>
  </si>
  <si>
    <t>Como usar o programa</t>
  </si>
  <si>
    <t>T = время фрезерования резьбы (секунд)</t>
  </si>
  <si>
    <t>P = gangen (TPI)</t>
  </si>
  <si>
    <t>L = draadlengte (mm)</t>
  </si>
  <si>
    <t>S = veilige afstand (mm)</t>
  </si>
  <si>
    <t>d = frees diameter (mm)</t>
  </si>
  <si>
    <t xml:space="preserve">NPSF - rosca para canos </t>
  </si>
  <si>
    <t>l = lengte van de snijkant(mm)</t>
  </si>
  <si>
    <t>z = aantal tanden</t>
  </si>
  <si>
    <t>V = snijsnelheid (m/min)</t>
  </si>
  <si>
    <t>Fz = voeding/tand (mm/tand)</t>
  </si>
  <si>
    <t>Aantal stappen, radiaal (max 3)</t>
  </si>
  <si>
    <t>Aantal stappen, axiaal</t>
  </si>
  <si>
    <t>Программа ЧПУ для Fanuc</t>
  </si>
  <si>
    <t>Программа ЧПУ для Siemens</t>
  </si>
  <si>
    <t>Программа ЧПУ для Num</t>
  </si>
  <si>
    <t>G - Whitworth rørgevind</t>
  </si>
  <si>
    <t>G - Whitworth-Rohrgewinde</t>
  </si>
  <si>
    <t>G - Whitworth torukeere</t>
  </si>
  <si>
    <t>G - Whitworth Pipe Thread</t>
  </si>
  <si>
    <t>G - Whitworth, rosca de tubo</t>
  </si>
  <si>
    <t>G - Whitworth pijpdraad</t>
  </si>
  <si>
    <t>G - Whitworth rosca para canos</t>
  </si>
  <si>
    <t>G - Filet pentru tevi Whitworth</t>
  </si>
  <si>
    <t>Нержавеющая сталь, хорошая обрабатываемость</t>
  </si>
  <si>
    <t>Внутреннее резьбофрезерование в многоцелевом станке</t>
  </si>
  <si>
    <t>Внутреннее резьбофрезерование в токарном станке</t>
  </si>
  <si>
    <t>М – метрический</t>
  </si>
  <si>
    <t>G - Whitworth rorgjenge</t>
  </si>
  <si>
    <t>BSPT - konisk rørgjenge</t>
  </si>
  <si>
    <t>NPT - konisk rørgjenge</t>
  </si>
  <si>
    <t>NPTF - dryseal, konisk rørgjenge</t>
  </si>
  <si>
    <t>NPSF - rørgjenge</t>
  </si>
  <si>
    <t>Stål &lt;0,25%C, &lt;400N/mm2</t>
  </si>
  <si>
    <t>Stål, &lt;0,55%C, &lt;700N/mm2</t>
  </si>
  <si>
    <t>Stål, &lt;0,85%C, &lt;850N/mm2</t>
  </si>
  <si>
    <t>Aço, carbono alto, &lt; 0,85% C, &lt; 850 N/mm2</t>
  </si>
  <si>
    <t>Om verktøyet du bruker ikke finnes på listen kan du selv fylle inn fresens skjærdiameter, skjærlengde og antall skjær i rute 5-7.</t>
  </si>
  <si>
    <t>Verktøy med 2 skjær (aksielt)</t>
  </si>
  <si>
    <t>Stål , lavlegert, &lt;850N/mm2</t>
  </si>
  <si>
    <t>De aangegeven freesdiameter is bij de tand het dichtst bij de schacht. Daarom moet de aan te geven draaddiameter daar zijn , waar het deel van de frees ingrijpt.</t>
  </si>
  <si>
    <t>terug</t>
  </si>
  <si>
    <t>Waarschuwing!</t>
  </si>
  <si>
    <t>Rosca interior em uma fresadora</t>
  </si>
  <si>
    <t xml:space="preserve">Rosca interior em uma torneadora </t>
  </si>
  <si>
    <t>com equipamento de movimento próprio</t>
  </si>
  <si>
    <t>M - Métrico</t>
  </si>
  <si>
    <t>BSPT - rosca para canos cônicos</t>
  </si>
  <si>
    <t>NPT - rosca para canos cônicos</t>
  </si>
  <si>
    <t>NPTF - dryseal, rosca para canos cônicos</t>
  </si>
  <si>
    <t>Медь, латунь, бронза, &lt; 700 Н/мм2</t>
  </si>
  <si>
    <r>
      <t>Fd=</t>
    </r>
    <r>
      <rPr>
        <sz val="9"/>
        <rFont val="ＭＳ Ｐゴシック"/>
        <family val="3"/>
      </rPr>
      <t>カッタの中心での送り（</t>
    </r>
    <r>
      <rPr>
        <sz val="9"/>
        <rFont val="Verdana"/>
        <family val="2"/>
      </rPr>
      <t>mm/min)</t>
    </r>
  </si>
  <si>
    <r>
      <t>T=</t>
    </r>
    <r>
      <rPr>
        <sz val="9"/>
        <rFont val="ＭＳ Ｐゴシック"/>
        <family val="3"/>
      </rPr>
      <t>ねじの加工時間（秒）</t>
    </r>
  </si>
  <si>
    <t>ファナック用ＣＮＣプログラム</t>
  </si>
  <si>
    <t>ハイデンハイン用ＣＮＣプログラム</t>
  </si>
  <si>
    <t>シーメンス用ＣＮＣプログラム</t>
  </si>
  <si>
    <t>Num用ＣＮＣプログラム</t>
  </si>
  <si>
    <t>Fagor用プログラム</t>
  </si>
  <si>
    <t>マザック用プログラム</t>
  </si>
  <si>
    <t>ご使用前によくお読み下さい！</t>
  </si>
  <si>
    <t>日本語 (japanska)</t>
  </si>
  <si>
    <t>日本語</t>
  </si>
  <si>
    <t>Geef de diameter van de frees aan in veld nr.5. Registreer de snijlengte van de wisselplaat in veldnr. 6 en geef in veld nr.7 het aantal snijkanten aan. Indien noodzakelijk, zal het programma de draad in meerdere axiale doorgangen snijden.</t>
  </si>
  <si>
    <t>O diâmetro da fresa é onde o diâmetro é maior. Por isso, ao se digitar o diâmetro, deve ser no lugar onde a parte da fresa que tem maior diâmetro começa a trabalhar a peça.</t>
  </si>
  <si>
    <t>volta</t>
  </si>
  <si>
    <t>Fz = avance/lábio (mm/dente)</t>
  </si>
  <si>
    <t>T = tid for å frese gjengen ( sekunder)</t>
  </si>
  <si>
    <t>CNC program for fanuc</t>
  </si>
  <si>
    <t>Støpejern, seigjern, aducergods, &lt;700N/mm2</t>
  </si>
  <si>
    <t xml:space="preserve"> L IZ+</t>
  </si>
  <si>
    <t xml:space="preserve"> L IX</t>
  </si>
  <si>
    <t xml:space="preserve"> TOOL CALL 1 Z S</t>
  </si>
  <si>
    <t xml:space="preserve"> L M3</t>
  </si>
  <si>
    <t xml:space="preserve"> L IZ</t>
  </si>
  <si>
    <t xml:space="preserve"> L IX+</t>
  </si>
  <si>
    <t xml:space="preserve"> CC IX+0 IY+</t>
  </si>
  <si>
    <t xml:space="preserve"> CP IPA+90 IZ+</t>
  </si>
  <si>
    <t xml:space="preserve"> CC IX</t>
  </si>
  <si>
    <t xml:space="preserve"> CP IPA+360 IZ+</t>
  </si>
  <si>
    <t>CNC program til Heidenhain</t>
  </si>
  <si>
    <t>Les før bruk</t>
  </si>
  <si>
    <t>Hvordanman bruker programmet</t>
  </si>
  <si>
    <r>
      <t>焼き入れ鋼</t>
    </r>
    <r>
      <rPr>
        <sz val="9"/>
        <rFont val="Verdana"/>
        <family val="2"/>
      </rPr>
      <t>, &lt; 55 HRC</t>
    </r>
  </si>
  <si>
    <r>
      <t>焼き入れ鋼</t>
    </r>
    <r>
      <rPr>
        <sz val="9"/>
        <rFont val="Verdana"/>
        <family val="2"/>
      </rPr>
      <t>, &lt; 65 HRC</t>
    </r>
  </si>
  <si>
    <t>鋳鉄、グラファイト薄板, &lt; 500 N/mm2</t>
  </si>
  <si>
    <t>鋳鉄、グラファイト薄板、 &lt; 1000 N/mm2</t>
  </si>
  <si>
    <t>ダクタイル鋳鉄、（マレーブル）, &lt; 700 N/mm2</t>
  </si>
  <si>
    <t>銅、真鍮、青銅, &lt; 700 N/mm2</t>
  </si>
  <si>
    <t>銅、高抗張力青銅, &lt; 1500 N/mm2</t>
  </si>
  <si>
    <t>アルミ</t>
  </si>
  <si>
    <t>ステンレス鋼（フェライト系、オーステナイト系）</t>
  </si>
  <si>
    <t>チタン, &lt; 700 N/mm2</t>
  </si>
  <si>
    <t>チタン合金, &lt; 900 N/mm2</t>
  </si>
  <si>
    <t>チタン合金, &lt; 1250N/mm2</t>
  </si>
  <si>
    <t>ニッケル, &lt; 500 N/mm2</t>
  </si>
  <si>
    <t>ニッケル合金、 &lt; 900 N/mm2</t>
  </si>
  <si>
    <t>Velg språk nederst på høyre side for deretter å gjøre ditt valg på i menyen, fyll i de fire første rutene. Med denne informasjonen kommer programmet i den siste menyen å gi deg forslag til et passende verktøy. Når du har valgt verktøy vises informasjon om verktøyet samt anbefalte skjærdata og den tid det tar å gjøre gjengen. I tillegg vises CNC programmet. Dette kan kopieres og limes inn på din CNC fil. De øvrige 6 rutene fylles ut hvis du ikke aksepterer informasjonen.</t>
  </si>
  <si>
    <t>Verktøy kompensering</t>
  </si>
  <si>
    <t>Пожалуйста, прочитайте перед использованием!</t>
  </si>
  <si>
    <t>UN – унифицированный</t>
  </si>
  <si>
    <t>G – трубная резьба Витворта</t>
  </si>
  <si>
    <t>BSPT – коническая трубная резьба</t>
  </si>
  <si>
    <t>NPT –  коническая трубная резьба</t>
  </si>
  <si>
    <t>Os dados apresentados são apenas recomendações de inicio. São vários os fatores que devem ser considerados e consequentemente ajustamentos serão necessários. Por exemplo: estabilidade da maquina, materiais envolvidos, etc. SmiCut não se responsabiliza por danos causados pelo uso do programa ou dados recomendados.</t>
  </si>
  <si>
    <t>アルミ合金, &lt; 0.5% Si</t>
  </si>
  <si>
    <t>アルミ合金, &lt; 10% Si</t>
  </si>
  <si>
    <t>programa CNC para Heidenhain</t>
  </si>
  <si>
    <t>CNC programme pour Heidnehain</t>
  </si>
  <si>
    <t>Programma CNC per Heidenhain</t>
  </si>
  <si>
    <t>CNC programma voor Heidenhain</t>
  </si>
  <si>
    <t xml:space="preserve"> Program CNC dla Heidenhaina</t>
  </si>
  <si>
    <t>CNC programa para Heidenhain</t>
  </si>
  <si>
    <t>CNC ohjelma Haidenhainille</t>
  </si>
  <si>
    <t>CNC program för Heidenhain</t>
  </si>
  <si>
    <t>Программа ЧПУ для Heidenhain</t>
  </si>
  <si>
    <t>Program CNC pentru Heidenhain</t>
  </si>
  <si>
    <t>NPTF - Drobnozwojowy, gwint do rur</t>
  </si>
  <si>
    <t>NPSP - Gwint do rur</t>
  </si>
  <si>
    <t>PG - Gwint do rurek instalacyjnych</t>
  </si>
  <si>
    <t>Fresens skjærdiameter som angis er ved gjengen nærmest skaftet. Derfor må gjengens diameter som angis være der denne delen av verktøyet går i inngrep.</t>
  </si>
  <si>
    <t>Med dette programmet anvendes verkøykompensering kun for mindre justeringer. Dette elimenerer problem som kan oppstå når man anvender radiekompensering på korte forflyttninger. Angi derfor en verdi nære null for fresens diameter i verkøybiblioteket i styresystemet.</t>
  </si>
  <si>
    <t>Riktig gjengediameter direkte</t>
  </si>
  <si>
    <t>Spesialverktøy</t>
  </si>
  <si>
    <t>Verktøy med skaftreduksjon</t>
  </si>
  <si>
    <t>112, 1 pass, flera pass axiellt, Heidenhain</t>
  </si>
  <si>
    <t>32, 3 pass Heidenhain</t>
  </si>
  <si>
    <t>22, 2 pass Heidenhain</t>
  </si>
  <si>
    <t>12, 1 pass Heidenhain</t>
  </si>
  <si>
    <t xml:space="preserve"> FN 0: Q1 =+</t>
  </si>
  <si>
    <t xml:space="preserve"> LBL 101</t>
  </si>
  <si>
    <t xml:space="preserve"> FN 1: Q2 =+Q2 + +1</t>
  </si>
  <si>
    <t xml:space="preserve"> FN 12: IF +Q2 LT +Q1 GOTO LBL 101</t>
  </si>
  <si>
    <t>Om verktøyets skjærlengde er kortere enn gjengelengden kommer programmet automatisk å gjøre gjengen i nødvendig antall aksielle kutt.</t>
  </si>
  <si>
    <t>Materiais especiais</t>
  </si>
  <si>
    <t>Нержавеющая сталь, аустенитная</t>
  </si>
  <si>
    <t>Нержавеющая сталь, ферритная и аустенитная</t>
  </si>
  <si>
    <t>Титан, беспримесный, &lt; 700 Н/мм2</t>
  </si>
  <si>
    <t>Титан, сплавной, &lt; 900 Н/мм2</t>
  </si>
  <si>
    <t>Титан, сплавной, &lt; 1250 Н/мм2</t>
  </si>
  <si>
    <t>Никель, беспримесный, &lt; 500 Н/мм2</t>
  </si>
  <si>
    <t>Никель, сплавной, &lt; 900 Н/мм2</t>
  </si>
  <si>
    <t>Никель, сплавной, &lt; 1250 Н/мм2</t>
  </si>
  <si>
    <t>Медь, беспримесная, &lt; 350 Н/мм2</t>
  </si>
  <si>
    <t>内径ねじ切り（マシニングセンタ）</t>
  </si>
  <si>
    <t>P = шаг (витков на дюйм)</t>
  </si>
  <si>
    <t>L = длина резьбы (мм)</t>
  </si>
  <si>
    <t>S = безопасное расстояние (мм)</t>
  </si>
  <si>
    <t>Rustfritt stål, ferrittisk</t>
  </si>
  <si>
    <t>Titan, ulegert, &lt;700N/mm2</t>
  </si>
  <si>
    <t>Titan, legert, &lt;900N/mm2</t>
  </si>
  <si>
    <t>Titan, legert, &lt;1250N/mm2</t>
  </si>
  <si>
    <t>三菱用プログラム</t>
  </si>
  <si>
    <t>内径ねじ切り（旋盤）</t>
  </si>
  <si>
    <t>ファナック</t>
  </si>
  <si>
    <t>ハイデンハイン</t>
  </si>
  <si>
    <t>シーメンス</t>
  </si>
  <si>
    <t>マザック</t>
  </si>
  <si>
    <t>三菱</t>
  </si>
  <si>
    <t>メートルねじ</t>
  </si>
  <si>
    <t>ユニファイねじ</t>
  </si>
  <si>
    <t>ウィットワースねじ</t>
  </si>
  <si>
    <t>管用テーパねじ（ＢＳＰＴ）</t>
  </si>
  <si>
    <t>ナショナル管用テーパねじ（ＮＰＴ）</t>
  </si>
  <si>
    <t>ＮＰＴＦドライシールねじ</t>
  </si>
  <si>
    <t>Fresas cônicas</t>
  </si>
  <si>
    <t>Fz = mating/tand (mm/tand)</t>
  </si>
  <si>
    <t>antall kutt, radielt (max 3)</t>
  </si>
  <si>
    <t>antall kutt aksielt</t>
  </si>
  <si>
    <t>N = o/min</t>
  </si>
  <si>
    <t>FD = mating ved gjengens Ø (mm/min)</t>
  </si>
  <si>
    <t>Fd = mating in fresens senter ( mm/min)</t>
  </si>
  <si>
    <t>Gjengefreser med vendeskjær</t>
  </si>
  <si>
    <t>Koniske gjenger</t>
  </si>
  <si>
    <t>CNC Programm für Heidenhain</t>
  </si>
  <si>
    <t>Støpejern, seigjern, aducergods, &lt;1000N/mm2</t>
  </si>
  <si>
    <t>Rustfritt automatstål</t>
  </si>
  <si>
    <t>銅、 &lt; 350 N/mm2</t>
  </si>
  <si>
    <t>Angitte skjærdata er anbefalte verdier. Det er mange faktorer som kan medføre justeringer, f.eks maskinstabilitet, verktøysystemer etc. SmiCut tar ikke ansvar for skader som kan oppstå når man anvender CNC programmet eller skjærdata fra databasen.</t>
  </si>
  <si>
    <t>Støpejern, &lt;1000N/mm2</t>
  </si>
  <si>
    <t>Rustfritt stål, austenittisk</t>
  </si>
  <si>
    <t>한국어</t>
  </si>
  <si>
    <t>한국어 (KOREANSKA)</t>
  </si>
  <si>
    <t>ダクタイル鋳鉄、（マレーブル）, &lt; 1000 N/mm2</t>
  </si>
  <si>
    <t>ステンレス鋼、快削系</t>
  </si>
  <si>
    <t>ステンレス鋼（オーステナイト系）</t>
  </si>
  <si>
    <t>10012, 1 pass, konisk, Heidenhain</t>
  </si>
  <si>
    <t xml:space="preserve"> IY+</t>
  </si>
  <si>
    <t xml:space="preserve"> CC IX+</t>
  </si>
  <si>
    <t>ニッケル合金、 &lt; 1250 N/mm3</t>
  </si>
  <si>
    <t>The program don´t accept your choice.</t>
  </si>
  <si>
    <t>Please, test with other values.</t>
  </si>
  <si>
    <t>På gjengefresene fra SmiCut er middeldiameteren målt optisk for deretter å lasermerke teoretisk ytterdiameter på verktøyet. Målet bør skrives i ruten ved siden av ytterdiameter på verktøyet ( rute 5). Du vil sannsynligvis få en riktig gjenge.</t>
  </si>
  <si>
    <t>アルミ合金, &gt; 10% Si</t>
  </si>
  <si>
    <t>インコネル718</t>
  </si>
  <si>
    <t>グラファイト</t>
  </si>
  <si>
    <t>Ｄ＝ねじ径（㎜）</t>
  </si>
  <si>
    <t>Ｐ＝ピッチ（㎜）</t>
  </si>
  <si>
    <t>Ｐ＝ピッチ（山数）</t>
  </si>
  <si>
    <t>Ｌ＝ねじ長さ（㎜）</t>
  </si>
  <si>
    <r>
      <t>d=</t>
    </r>
    <r>
      <rPr>
        <sz val="9"/>
        <rFont val="ＭＳ Ｐゴシック"/>
        <family val="3"/>
      </rPr>
      <t>カッタ径（㎜）</t>
    </r>
  </si>
  <si>
    <r>
      <t>l=</t>
    </r>
    <r>
      <rPr>
        <sz val="9"/>
        <rFont val="ＭＳ Ｐゴシック"/>
        <family val="3"/>
      </rPr>
      <t>有効刃長（㎜）</t>
    </r>
  </si>
  <si>
    <r>
      <t>z=</t>
    </r>
    <r>
      <rPr>
        <sz val="9"/>
        <rFont val="ＭＳ Ｐゴシック"/>
        <family val="3"/>
      </rPr>
      <t>刃数</t>
    </r>
  </si>
  <si>
    <r>
      <t>V=</t>
    </r>
    <r>
      <rPr>
        <sz val="9"/>
        <rFont val="ＭＳ Ｐゴシック"/>
        <family val="3"/>
      </rPr>
      <t>切削速度</t>
    </r>
    <r>
      <rPr>
        <sz val="9"/>
        <rFont val="Verdana"/>
        <family val="2"/>
      </rPr>
      <t>(m/min)</t>
    </r>
  </si>
  <si>
    <r>
      <t>Fz=</t>
    </r>
    <r>
      <rPr>
        <sz val="9"/>
        <rFont val="ＭＳ Ｐゴシック"/>
        <family val="3"/>
      </rPr>
      <t>一刃当たり送り（</t>
    </r>
    <r>
      <rPr>
        <sz val="9"/>
        <rFont val="Verdana"/>
        <family val="2"/>
      </rPr>
      <t>mm/</t>
    </r>
    <r>
      <rPr>
        <sz val="9"/>
        <rFont val="ＭＳ Ｐゴシック"/>
        <family val="3"/>
      </rPr>
      <t>刃）</t>
    </r>
  </si>
  <si>
    <t>パス回数、アキシャル方向</t>
  </si>
  <si>
    <r>
      <t>N=</t>
    </r>
    <r>
      <rPr>
        <sz val="9"/>
        <rFont val="ＭＳ Ｐゴシック"/>
        <family val="3"/>
      </rPr>
      <t>回転数（ｒｐｍ）</t>
    </r>
  </si>
  <si>
    <r>
      <t>FD=</t>
    </r>
    <r>
      <rPr>
        <sz val="9"/>
        <rFont val="ＭＳ Ｐゴシック"/>
        <family val="3"/>
      </rPr>
      <t>ねじ径の送り（ｍｍ</t>
    </r>
    <r>
      <rPr>
        <sz val="9"/>
        <rFont val="Verdana"/>
        <family val="2"/>
      </rPr>
      <t>)</t>
    </r>
  </si>
  <si>
    <t>G - Whitworth putkikierre</t>
  </si>
  <si>
    <t>M - Metrinen</t>
  </si>
  <si>
    <t>UN - Kierre</t>
  </si>
  <si>
    <t>BSPT - kartioputkikierre</t>
  </si>
  <si>
    <t>NPT - kartioputkikierre</t>
  </si>
  <si>
    <t>NPTF - dryseal, kartioputkikierre</t>
  </si>
  <si>
    <t>NPSF - putkikierre</t>
  </si>
  <si>
    <t>PG - Panssariputkikierre</t>
  </si>
  <si>
    <t>M - Metryczne</t>
  </si>
  <si>
    <t>UN - Zunifikowany</t>
  </si>
  <si>
    <t xml:space="preserve">G - Gwint do rur Whitworth'a </t>
  </si>
  <si>
    <t>BSPT - Stożkowy gwint do rur</t>
  </si>
  <si>
    <t>NPT - Stożkowy gwint do rur</t>
  </si>
  <si>
    <t>CNC programm Heidenhain</t>
  </si>
  <si>
    <t>CNC program for Heidenhain</t>
  </si>
  <si>
    <t>Om du velger et standardverktøy met et eller to skjær, type NM, kommer programmet automatisk til å lage en syklus som gjør en spiral til gjengen er ferdig. Om du vil skape en lignende syklus med et annet verktøy angir du stigningen som fresens skjærlengde i rute 6.</t>
  </si>
  <si>
    <t>Skriv fresekroppens skjærdiameter i rute 5, angi vendeskjærets skjærkantlengde i rute 6 og angi antall skjær i rute 7. Om behov foreligger kommer programmet automatisk å lage gjengen aksielt i flere kutt.</t>
  </si>
  <si>
    <t>Heidenhain</t>
  </si>
  <si>
    <t xml:space="preserve"> RL F</t>
  </si>
  <si>
    <t xml:space="preserve"> IY+0</t>
  </si>
  <si>
    <t>Nikkel, ulegert, &lt;500N/mm2</t>
  </si>
  <si>
    <t>Nikkel, legert, &lt;900N/mm2</t>
  </si>
  <si>
    <t>Nikkel, legert, &lt;1250N/mm2</t>
  </si>
  <si>
    <t>Kobber, ulegert, &lt;350N/mm2</t>
  </si>
  <si>
    <t>Kobber, messing, bronse, &lt;700N/mm2</t>
  </si>
  <si>
    <t>Kobber, bronse, høy bruddstyrke, &lt;1500N/mm2</t>
  </si>
  <si>
    <t>Aluminium, ulegert</t>
  </si>
  <si>
    <t>Aluminium, legert, &lt;0,5% Si</t>
  </si>
  <si>
    <t>Aluminium, legert, &lt;10%Si</t>
  </si>
  <si>
    <t>Aluminium, legert, &gt;10%Si</t>
  </si>
  <si>
    <t>Grafitt</t>
  </si>
  <si>
    <t>D = gjengens diameter</t>
  </si>
  <si>
    <t xml:space="preserve">P = stigning (mm) </t>
  </si>
  <si>
    <t>L = gjengens lengde (mm)</t>
  </si>
  <si>
    <t>S = sikkerhetsavstand (mm)</t>
  </si>
  <si>
    <t>d = fresens skjærdiameter (mm)</t>
  </si>
  <si>
    <t>l = fresens skjærlengde (mm)</t>
  </si>
  <si>
    <t>z = antall skjær</t>
  </si>
  <si>
    <t>V = skjærhastighet (m/min)</t>
  </si>
  <si>
    <t>Ändra antal artikelpositioner</t>
  </si>
  <si>
    <t>OBS!</t>
  </si>
  <si>
    <t>samt C22 till C24.</t>
  </si>
  <si>
    <t>Förläng följande kolumner:</t>
  </si>
  <si>
    <t>Magyar</t>
  </si>
  <si>
    <t>Euskera</t>
  </si>
  <si>
    <t>Barrukoa fresatzaile batengan hariztatua</t>
  </si>
  <si>
    <t>Barrukoa tornu batean hariztatua</t>
  </si>
  <si>
    <t>Heidenhein</t>
  </si>
  <si>
    <t>M - Metrikoa</t>
  </si>
  <si>
    <t>G - tutuaren harizta Whithworth</t>
  </si>
  <si>
    <t>BSPT - tutuaren harizta konikoa</t>
  </si>
  <si>
    <t>NPT - tutuaren harizta konikoa</t>
  </si>
  <si>
    <t>NPTF - tutuaren harizta konikoa, Dryseal</t>
  </si>
  <si>
    <t>NPSF - tutuaren harizta</t>
  </si>
  <si>
    <t>PG - Pansarrohrgewinde</t>
  </si>
  <si>
    <t>Altzairu, Karbono gutxi, &lt; 0,25% C, &lt; 400 N/mm2</t>
  </si>
  <si>
    <t>Altzairu, Karbono erdi, &lt; 0,55% C, &lt; 700 N/mm2</t>
  </si>
  <si>
    <t>Altzairu, Karbono altu, &lt; 0,85% C, &lt; 850 N/mm2</t>
  </si>
  <si>
    <t>Altzairu, Aleazio baxu, &lt; 850 N/mm2</t>
  </si>
  <si>
    <t>Altzairu, Aleazio altu, &lt; 1200 N/mm2</t>
  </si>
  <si>
    <t>Altzairu, Epeldua, &lt; 45 HRC</t>
  </si>
  <si>
    <t>Altzairu, Epeldua, &lt; 55 HRC</t>
  </si>
  <si>
    <t>Altzairu, Epeldua, &lt; 65 HRC</t>
  </si>
  <si>
    <t>Burdin urtzea, Grafito laminarra, &lt; 500 N/mm2</t>
  </si>
  <si>
    <t>Burdin urtzea, Grafito laminarra, &lt; 1000 N/mm2</t>
  </si>
  <si>
    <t>Burdin urtzea, Esferoidal grafitoa, xaflakorra, &lt; 700 N/mm2</t>
  </si>
  <si>
    <t>Burdin urtzea, Esferoidal grafitoa, xaflakorra, &lt; 1000 N/mm2</t>
  </si>
  <si>
    <t xml:space="preserve">Altzairu herdoilgaitza, </t>
  </si>
  <si>
    <t>Altzairu herdoilgaitza, Austeniticoa</t>
  </si>
  <si>
    <t>Altzairu herdoilgaitza, Ferritico eta Austeniticoa</t>
  </si>
  <si>
    <t>Titanio, Aleatuta ez, &lt; 700 N/mm2</t>
  </si>
  <si>
    <t>Titanio, Aleatuta, &lt; 900 N/mm2</t>
  </si>
  <si>
    <t>Titanio, Aleatuta, &lt; 1250 N/mm2</t>
  </si>
  <si>
    <t>Nikel, Aleatuta ez, &lt; 500 N/mm2</t>
  </si>
  <si>
    <t>Nikel, Aleatuta, &lt; 900 N/mm2</t>
  </si>
  <si>
    <t>Nikel, Aleatuta, &lt; 1250 N/mm2</t>
  </si>
  <si>
    <t>Kobre, Aleatuta ez, &lt; 350 N/mm2</t>
  </si>
  <si>
    <t>Kobre, Letoia, Brontzea, &lt; 700 N/mm2</t>
  </si>
  <si>
    <t>Kobre, Erresistentzia altuko brontzea</t>
  </si>
  <si>
    <t>Aluminio, Aleatuta ez</t>
  </si>
  <si>
    <t>Aluminio, Aleatuta, &lt; 0,5% Si</t>
  </si>
  <si>
    <t>Aluminio, Aleatuta, &lt; 10% Si</t>
  </si>
  <si>
    <t>Aluminio, Aleatuta, &gt; 10% Si</t>
  </si>
  <si>
    <t>D = uztaiaren diametroa (mm)</t>
  </si>
  <si>
    <t>P = pasu (mm)</t>
  </si>
  <si>
    <t>P = pasu (TPI)</t>
  </si>
  <si>
    <t>L = uztaiaren longitudea (mm)</t>
  </si>
  <si>
    <t>S = Segurtasunaren distantzia (mm)</t>
  </si>
  <si>
    <t>d = Gortearen diametroa (mm)</t>
  </si>
  <si>
    <t>l = Gortearen longitudea (mm)</t>
  </si>
  <si>
    <t>z = Ebaki zenbakia</t>
  </si>
  <si>
    <t>V = Ebaki abiadura (m/min)</t>
  </si>
  <si>
    <t>Fz = aurrerapauso/hortza (mm/hortza)</t>
  </si>
  <si>
    <t>Iragaiteen zenbakia, erradiala (max 3)</t>
  </si>
  <si>
    <t>Iragaiteen zenbakia, axiala</t>
  </si>
  <si>
    <t>N = biraren abiadura (rpm)</t>
  </si>
  <si>
    <t>FD = uztaiako diametroan aurrerapausoa (mm/min)</t>
  </si>
  <si>
    <t>Fd = fresako erdian aurrerapausoa (mm/min)</t>
  </si>
  <si>
    <t>T = uztaia fresatu denbora (segunduak)</t>
  </si>
  <si>
    <t>CNC program for Fanuc-entzat</t>
  </si>
  <si>
    <t>CNC program for Heidenhein-entzat</t>
  </si>
  <si>
    <t>CNC program for Siemens-entzat</t>
  </si>
  <si>
    <t>CNC program for Num-entzat</t>
  </si>
  <si>
    <t>CNC program for Fagorrentzat</t>
  </si>
  <si>
    <t>CNC program for Mazak-entzat</t>
  </si>
  <si>
    <t>CNC program for Mitsubishi-entzat</t>
  </si>
  <si>
    <t>Mesedez, erabili baino lehen irakurri!</t>
  </si>
  <si>
    <t>Belső menetmarás megmunkáló központon</t>
  </si>
  <si>
    <t>Belső menetmarás forgószerszámos esztergán</t>
  </si>
  <si>
    <t>M - Metrikus</t>
  </si>
  <si>
    <t>UN - Amerikai menet</t>
  </si>
  <si>
    <t>G - Whithworth csőmenet</t>
  </si>
  <si>
    <t>BSPT - Kúpos menet</t>
  </si>
  <si>
    <t>NPT - Kúpos menet</t>
  </si>
  <si>
    <t>NPTF - Kúpos tömítő menet</t>
  </si>
  <si>
    <t>NPSF - Csőmenet</t>
  </si>
  <si>
    <t>PG - Páncélcsőmenet</t>
  </si>
  <si>
    <t>Acél, széntartalom &lt; 0,25%, &lt; 400 N/mm2</t>
  </si>
  <si>
    <t>Acél, széntartalom &lt; 0,55%, &lt; 700 N/mm2</t>
  </si>
  <si>
    <t>Acél, széntartalom &lt; 0,85%, &lt; 850 N/mm2</t>
  </si>
  <si>
    <t>Acél, gyengén ötvözött, &lt; 850 N/mm2</t>
  </si>
  <si>
    <t>Acél, erősen ötvözött, &lt; 1200 N/mm2</t>
  </si>
  <si>
    <t>Acél, edzett, &lt; 45 HRC</t>
  </si>
  <si>
    <t>Acél, edzett, &lt; 55 HRC</t>
  </si>
  <si>
    <t>Acél, edzett, &lt; 65 HRC</t>
  </si>
  <si>
    <t>Öntöttvas, lemezgrafitos, &lt; 500 N/mm2</t>
  </si>
  <si>
    <t>Öntöttvas, lemezgrafitos, &lt; 1000 N/mm2</t>
  </si>
  <si>
    <t>Öntöttvas, gömbgrafitos, &lt; 700 N/mm2</t>
  </si>
  <si>
    <t>Öntöttvas, gömbgrafitos, &lt; 1000 N/mm2</t>
  </si>
  <si>
    <t>Korrózióálló acél, jól forgácsolható</t>
  </si>
  <si>
    <t>Korrózióálló acél, ausztenites</t>
  </si>
  <si>
    <t>Korrózióálló acél, ferrites és ausztenites</t>
  </si>
  <si>
    <t>Titán, ötvözetlen, &lt; 700 N/mm2</t>
  </si>
  <si>
    <t>Titán, ötvözött, &lt; 900 N/mm2</t>
  </si>
  <si>
    <t>Titán, ötvözött, &lt; 1250 N/mm2</t>
  </si>
  <si>
    <t>Nikkel, ötvözetlen, &lt; 500 N/mm2</t>
  </si>
  <si>
    <t>Nikkel, ötvözött, &lt; 900 N/mm2</t>
  </si>
  <si>
    <t>Nikkel, ötvözött, &lt; 1250 N/mm2</t>
  </si>
  <si>
    <t>Réz, ötvözetlen, &lt; 350 N/mm2</t>
  </si>
  <si>
    <t>Réz, sárgaréz, bronz, &lt; 700 N/mm2</t>
  </si>
  <si>
    <t>Réz, nagyszilárdságú bronz, &lt; 1500 N/mm2</t>
  </si>
  <si>
    <t>Alumínium, ötvözetlen</t>
  </si>
  <si>
    <t>Alumínium, ötvözött, &lt; 0.5% Si</t>
  </si>
  <si>
    <t>Alumínium, ötvözött, &lt; 10% Si</t>
  </si>
  <si>
    <t>Alumínium, ötvözött, &gt; 10% Si</t>
  </si>
  <si>
    <t>D = menet átmérő (mm)</t>
  </si>
  <si>
    <t>P = menetemelkedés (mm)</t>
  </si>
  <si>
    <t>P = menetemelkedés (TPI)</t>
  </si>
  <si>
    <t>L =menet hossz (mm)</t>
  </si>
  <si>
    <t>S = biztonsági távolság (mm)</t>
  </si>
  <si>
    <t>d = maró átmérő (mm)</t>
  </si>
  <si>
    <t>l = maró él hossz (mm)</t>
  </si>
  <si>
    <t>z = maró fogszám</t>
  </si>
  <si>
    <t>V = forgácsoló sebesség (m/min)</t>
  </si>
  <si>
    <t>Fz = fogankénti előtolás (mm/fog)</t>
  </si>
  <si>
    <t>Fogások száma, radiális (max 3)</t>
  </si>
  <si>
    <t>Fogások száma, axiális</t>
  </si>
  <si>
    <t>N = orsó fordulatszám (fordulat/min)</t>
  </si>
  <si>
    <t>FD = előtolás a menetátmérőnél (mm/min)</t>
  </si>
  <si>
    <t>Fd = előtolás a maró központjánál (mm/min)</t>
  </si>
  <si>
    <t>T = a menetmarás ideje (sec)</t>
  </si>
  <si>
    <t>Fanuc CNC program</t>
  </si>
  <si>
    <t>Heidenhein CNC program</t>
  </si>
  <si>
    <t>Siemens CNC program</t>
  </si>
  <si>
    <t>Num CNC program</t>
  </si>
  <si>
    <t>Fagor CNC program</t>
  </si>
  <si>
    <t>Mazak CNC program</t>
  </si>
  <si>
    <t>Mitsubishi CNC program</t>
  </si>
  <si>
    <t>Használat előtt kérjük elolvasni!</t>
  </si>
  <si>
    <t>Kontuz !</t>
  </si>
  <si>
    <t>Gortearen estantzen duten aipatuta kondizioak lehenik gomendatzen dute. Eragin ahal duten batek akordioak egin behar izan ditzan faktore asko dago, egonkortasuna adibidez azpijokoa egiten du, erremintak etc. Smicut ocuritu ahal izan dezaten kalteen ez da erantzule egiten bat hau Programa Cnc eta programaren gortearen kondizioak erabiltzean.</t>
  </si>
  <si>
    <t>Nola erabiltzen du programa hau?</t>
  </si>
  <si>
    <t>Hizkuntza aukeratzen du behean eskuineko aldean eta gero zure aukerak aukeratu ahal dituzu betileetan eta lehen lau koadrotan. Informazio honekin programa erreminta egoki desberdinak eskaintzera doakizu azken betilean. Erreminta bat eligidotu duzunean, erremintaren informazioa ikusi ahal duzu, gortearen kondizioak eta Eguraldia losintxatu. Gainera programa CNC erakusten du. Eta kopiatu ahal da itsastea beste bat agiritegian gordetzen dut. Sei koadro azkenak bakarrik berriz betetzen dira ez recomdendadoa onartzea.</t>
  </si>
  <si>
    <t>Erremintaren ordaina</t>
  </si>
  <si>
    <t>Programa honekin erremintaren ordaina bakarrik akordio txikientzat erabiltzen da. Honekin gertatu ahal diren bat ordaina mugimendu laburretan erabiltzean dagoenean arazoak kanporatzera zoaz. Hori, balio bat jar ezazu hutsetik gertu marrubiaren diametroarentzat zenbakizko kontrolen bibliotekan.</t>
  </si>
  <si>
    <t>Uztaiaren probarik gabe diametro zuzena</t>
  </si>
  <si>
    <t>Smicuten hariztatzeko marrubien diametro erdiak ópticamente neurtu eta gero laserrarekin markatu dute marrubiaren diametro teorikoa. Neurri honek mozketaren diametroaren ondoan dagoen koadroan jarri behar du (koadro 5). Da oso probablea hara uztai zuzen bat egitera zuzenean. Akordioak gero egitea behar baduzu egin ahal da bera koadroan edo zenbakizko kontrolen bibliotekan.</t>
  </si>
  <si>
    <t>Erreminta bereziak</t>
  </si>
  <si>
    <t>Erreminta egon erabili zerrendan ez badago mozketaren diametroa berriz bete ahal duzu, mozketaren longitudean eta ezpainen numeroan koadroetan 5, 6 eta 7.</t>
  </si>
  <si>
    <t xml:space="preserve">Bat edo bi hortzekin erremintak (axial) </t>
  </si>
  <si>
    <t>Standard erreminta bat aukeratzen baduzu batekin edo bi hortz, mota NM, programa automatikoki sortzera doa espiral bat egiten duen uztaia amaitu arte ziklo bat. Ziklo bat iruditua egin nahi baduzu beste erreminta batekin, urratsa jar itzazu mozketaren longitudea koadroan sei.</t>
  </si>
  <si>
    <t>Gorte kurtzearekin erremintak</t>
  </si>
  <si>
    <t>Erremintak gortearen gehiago laburra longitude bat badu uztaiaren longitudea, programa automatikoki iragaite axial nahikoetan losintxatzera doa.</t>
  </si>
  <si>
    <t>Plaquitekin erremintak</t>
  </si>
  <si>
    <t>Gorputzaren mozketaren diametroa jar itzazu koadroan bost, plaquitaren mozketaren longitudea jar itzazu koadroan sei eta ezpainen numeroa jar itzazu koadroan zazpi. Beharrezkoa bada programa automatikoki egitera doa uztaia zenbait iragaite axialetan.</t>
  </si>
  <si>
    <t>Uztai konikoak</t>
  </si>
  <si>
    <t>Mozketaren diametroa gehiago dagoen kirtenetik gertu hortza izango da. Hori, uztaiaren diametroak hortz enplegatuaren bera mailari egon behar dio mozketaren diametroarentzat.</t>
  </si>
  <si>
    <t>Itzultzea</t>
  </si>
  <si>
    <t>Figyelem!</t>
  </si>
  <si>
    <t>Az itt szereplő forgácsolási adatok csak ajánlott kezdőértékek. Sok mindennek lehet olyan hatása, ami szükségessé teszi az adatok módosítását, például a gép stabilitása, a szerszámtartó, stb. A SmiCut cég nem vállal felelősséget a CNC program, vagy a szoftver által ajánlott forgácsolási adatok használata során keletkező esetleges károkért.</t>
  </si>
  <si>
    <t>Hogyan használjuk a programot</t>
  </si>
  <si>
    <t>Válassza ki a nyelvet a jobb alsó sarokban, állítsa be a legördülő menüket, majd töltse ki a következő négy mezőt. A szükséges információ kitöltésekor a program megajánlja az alkalmas menetmarókat. A menetmarók egyikének kiválasztása után megjelennek az ajánlott forgácsolási adatok és a menetmarás művelet ideje. Ugyancsak megjelenik a menetmarás CNC programja. A CNC program másolható és beilleszthető az Ön CNC programjába.</t>
  </si>
  <si>
    <t>Szerszám kompenzáció</t>
  </si>
  <si>
    <t>Ennél a programnál a szerszám kompenzáció csak kisebb állításokhoz használható. Ez kiküszöböli az olyan problémákat, amelyek akkor keletkeznek, ha rádiusz kompenzációt használunk kis elmozdulásoknál. Ezért egy nullához közeli értéket adjon meg maró átmérőként a vezérlés szerszám könyvtárában.</t>
  </si>
  <si>
    <t>Korrekt menet átmérő azonnal</t>
  </si>
  <si>
    <t>A SmiCut menetmarókon a középátmérőt optikailag megmérik és elméleti külső átmérőt lézerjelöléssel feltüntetik minden egyes marón. Ezt az értéket be kell írni a maró átmérő melletti mezőbe (5 jelű). Nagy valószínűséggel így azonnal korrekt menetméretet fog kapni. Ha mégis korrigálni kell, ezt megteheti ugyanebben a mezőben, vagy a vezérlés szerszám könyvtárában.</t>
  </si>
  <si>
    <t>Különleges szerszámok</t>
  </si>
  <si>
    <t>Ha olyan szerszámot használ, amely nincs a listában, beírhatja a maró átmérőjét, hosszát és él számát az 5-7 mezőkbe.</t>
  </si>
  <si>
    <t>Egy és két profilú menetmarók</t>
  </si>
  <si>
    <t>Ha az egy vagy kétprofilú NM típusú menetmarót választja, akkor a  program automatikusan előállít egy ciklust, amely egy spirált ír le, amíg el nem készül a menet. Ha ugyanezt akarja tenni egy másik szerszámmal, akkor a menetemelkedést kell beírni a maró él hosszának helyére a 6-os mezőbe.</t>
  </si>
  <si>
    <t>Menetmarók vékony nyakkal</t>
  </si>
  <si>
    <t>A program automatikusan több axiális fogásban készíti el a menetet, ha a menetmaró éle rövidebb, mint az előírt menethossz.</t>
  </si>
  <si>
    <t>Váltólapkás menetmarók</t>
  </si>
  <si>
    <t>Adja meg a maróátmérőt az 5 jelű mezőben, a 6 jelű mezőben a lapka hosszát és a 7 jelű mezőben a lapkák számát. Szükség esetén a program automatikusan több axiális fogásban állítja elő a teljes menethosszt.</t>
  </si>
  <si>
    <t>Kúpos menetek</t>
  </si>
  <si>
    <t>A megadott maró átmérő a szárhoz közeli teljes meneten értendő. Ezért azt a menet átmérőt kell megadni, ahol a marónak ez a része dolgozik.</t>
  </si>
  <si>
    <t>vissza</t>
  </si>
  <si>
    <t>i kolumn AX2 till AX21</t>
  </si>
  <si>
    <t>samt AZ2 till AZ21</t>
  </si>
  <si>
    <t>AS, AT, AU, AV och AW.</t>
  </si>
  <si>
    <t>De angivne skæredata er kun anbefalede startværdier. Der findes mange faktorer som kan påvirke, at der skal foretages justeringer, fx maskinstabilitet, værktøjsudrustning etc. SmiCut er ikke ansvarlig for skader som kan opstå i forb. med anvendelse af CNC programmet eller skæredata fra softwaren.</t>
  </si>
  <si>
    <t>På gevindfræserne fra SmiCut er mediandiameteren opmålt optisk og siden er den teoretiske yderdiamter lasermærket på værktøjet. Dette mål bør indskrives i rubrikken ved siden af fræserens skærediamter (rubrik 5). Med høj sandsynlighed vil man således opnå et korrekt gevind, første gang. Hvis der skal foretages justeringer, kan dette gøres i samme runbrik, alternativt  i værktøjsbiblioteket på styresystemet</t>
  </si>
  <si>
    <t>XBT1616D40  11W  A9</t>
  </si>
  <si>
    <t>XBT1212D28  14W  A9</t>
  </si>
  <si>
    <t>XBT1010D22  19W  A9</t>
  </si>
  <si>
    <t>XBT0606C10  28W  A9</t>
  </si>
  <si>
    <t>XB2020E49  11W  A9</t>
  </si>
  <si>
    <t>XB2020D42  8NPTF  A9</t>
  </si>
  <si>
    <t>XB2020D42  8NPT  A9</t>
  </si>
  <si>
    <t>XB1616E28  14W  A9</t>
  </si>
  <si>
    <t>XB1616D40  11W  A9</t>
  </si>
  <si>
    <t>XB1616D31  11BSPT  A9</t>
  </si>
  <si>
    <t>XB1616D29  11.5NPTF  A9</t>
  </si>
  <si>
    <t>XB1616D29  11.5NPT  A9</t>
  </si>
  <si>
    <t>XB1616D29  11.5NPSF  A9</t>
  </si>
  <si>
    <t>XB1616D22  14NPT  A9</t>
  </si>
  <si>
    <t>XB1212D31  16PG  A9</t>
  </si>
  <si>
    <t>XB1212D28  14W  A9</t>
  </si>
  <si>
    <t>XB1212D22  14NPTF  A9</t>
  </si>
  <si>
    <t>XB1212D22  14NPT  A9</t>
  </si>
  <si>
    <t>XB1212D22  14NPSF  A9</t>
  </si>
  <si>
    <t>XB1212D20  14W  A9</t>
  </si>
  <si>
    <t>XB1212D20  14BSPT  A9</t>
  </si>
  <si>
    <t>XB1212C26  11W  A9</t>
  </si>
  <si>
    <t>XB1010D22  19W  A9</t>
  </si>
  <si>
    <t>XB1010C27  18PG  A9</t>
  </si>
  <si>
    <t>XB0808C21  20PG  A9</t>
  </si>
  <si>
    <t>XB0808C16  18NPTF  A9</t>
  </si>
  <si>
    <t>XB0808C16  18NPT  A9</t>
  </si>
  <si>
    <t>XB0808C16  18NPSF  A9</t>
  </si>
  <si>
    <t>XB0808C15  19W  A9</t>
  </si>
  <si>
    <t>XB0808C15  19BSPT  A9</t>
  </si>
  <si>
    <t>XB0606C12  27NPSF  A9</t>
  </si>
  <si>
    <t>XB0606C10  28W  A9</t>
  </si>
  <si>
    <t>XB0606C10  28BSPT  A9</t>
  </si>
  <si>
    <t>XB0606C10  27NPTF  A9</t>
  </si>
  <si>
    <t>XB0606C10  27NPT  A9</t>
  </si>
  <si>
    <t xml:space="preserve">NS0404C14.5  P60  A9 </t>
  </si>
  <si>
    <t xml:space="preserve">NS0404C10.0  P60  A9 </t>
  </si>
  <si>
    <t xml:space="preserve">NS04036C8.3  P60  A9 </t>
  </si>
  <si>
    <t xml:space="preserve">NS04036C12.0  P60  A9 </t>
  </si>
  <si>
    <t xml:space="preserve">NS0303C7.1  P60  A9 </t>
  </si>
  <si>
    <t xml:space="preserve">NS0303C10.2  P60  A9 </t>
  </si>
  <si>
    <t xml:space="preserve">NS03026C8.7  P60  A9 </t>
  </si>
  <si>
    <t xml:space="preserve">NS03026C6.1  P60  A9 </t>
  </si>
  <si>
    <t xml:space="preserve">NS03023C7.8  P60  A9 </t>
  </si>
  <si>
    <t xml:space="preserve">NS03023C5.4  P60  A9 </t>
  </si>
  <si>
    <t xml:space="preserve">NS03021C7.1  P60  A9 </t>
  </si>
  <si>
    <t xml:space="preserve">NS03021C4.9  P60  A9 </t>
  </si>
  <si>
    <t xml:space="preserve">NS03019C6.2  P60  A9 </t>
  </si>
  <si>
    <t xml:space="preserve">NS03019C4.3  P60  A9 </t>
  </si>
  <si>
    <t xml:space="preserve">NS03015C5.4  P60  A9 </t>
  </si>
  <si>
    <t xml:space="preserve">NS03015C3.8  P60  A9 </t>
  </si>
  <si>
    <t xml:space="preserve">NM0606C19  1.25ISO  A9 </t>
  </si>
  <si>
    <t xml:space="preserve">NM0606C14  1.25ISO  A9 </t>
  </si>
  <si>
    <t xml:space="preserve">NM06045C14  1.0ISO  A9 </t>
  </si>
  <si>
    <t xml:space="preserve">NM06045C10  1.0ISO  A9 </t>
  </si>
  <si>
    <t xml:space="preserve">NM04038C9  0.8ISO  A9 </t>
  </si>
  <si>
    <t xml:space="preserve">NM04038C12  0.8ISO  A9 </t>
  </si>
  <si>
    <t xml:space="preserve">NM0303C7  0.7ISO  A9 </t>
  </si>
  <si>
    <t xml:space="preserve">NM0303C10  0.7ISO  A9 </t>
  </si>
  <si>
    <t xml:space="preserve">NM03026C8  0.6ISO  A9 </t>
  </si>
  <si>
    <t xml:space="preserve">NM03026C6  0.6ISO  A9 </t>
  </si>
  <si>
    <t xml:space="preserve">NM03023C7  0.5ISO  A9 </t>
  </si>
  <si>
    <t xml:space="preserve">NM03023C5  0.5ISO  A9 </t>
  </si>
  <si>
    <t xml:space="preserve">NM03019C6  0.45ISO  A9 </t>
  </si>
  <si>
    <t xml:space="preserve">NM03019C4  0.45ISO  A9 </t>
  </si>
  <si>
    <t xml:space="preserve">NM03016C5  0.45ISO  A9 </t>
  </si>
  <si>
    <t xml:space="preserve">NM03016C3  0.45ISO  A9 </t>
  </si>
  <si>
    <t xml:space="preserve">NM03015C5  0.4ISO  A9 </t>
  </si>
  <si>
    <t xml:space="preserve">NM03015C3  0.4ISO  A9 </t>
  </si>
  <si>
    <t>NF1409C32  1.75ISO  A9</t>
  </si>
  <si>
    <t>NF1409C27  1.75ISO  A9</t>
  </si>
  <si>
    <t>NF1409C20  1.75ISO  A9</t>
  </si>
  <si>
    <t>NF12075C27  1.5ISO  A9</t>
  </si>
  <si>
    <t>NF12075C21  1.5ISO  A9</t>
  </si>
  <si>
    <t>NF12075C17  1.5ISO  A9</t>
  </si>
  <si>
    <t>NF1006C21  1.25ISO  A9</t>
  </si>
  <si>
    <t>NF1006C18  1.25ISO  A9</t>
  </si>
  <si>
    <t>NF1006C14  1.25ISO  A9</t>
  </si>
  <si>
    <t>NF08045C16  1.0ISO  A9</t>
  </si>
  <si>
    <t>NF08045C13  1.0ISO  A9</t>
  </si>
  <si>
    <t>NF08045C10  1.0ISO  A9</t>
  </si>
  <si>
    <t>NF0603C8  0.7ISO  A9</t>
  </si>
  <si>
    <t>NF0603C7  0.7ISO  A9</t>
  </si>
  <si>
    <t>NF0603C12  0.7ISO  A9</t>
  </si>
  <si>
    <t>NF0603C10  0.7ISO  A9</t>
  </si>
  <si>
    <t>NF06038C8  0.8ISO  A9</t>
  </si>
  <si>
    <t>NF06038C16  0.8ISO  A9</t>
  </si>
  <si>
    <t>NF06038C13  0.8ISO  A9</t>
  </si>
  <si>
    <t>NF06038C10  0.8ISO  A9</t>
  </si>
  <si>
    <t>NF06023C9  0.5ISO  A9</t>
  </si>
  <si>
    <t>NF06023C8  0.5ISO  A9</t>
  </si>
  <si>
    <t>NF06023C6  0.5ISO  A9</t>
  </si>
  <si>
    <t>NF06023C5  0.5ISO  A9</t>
  </si>
  <si>
    <t>NBT1616E39  2.0ISO  A9</t>
  </si>
  <si>
    <t>NBT1212D35  2.0ISO  A9</t>
  </si>
  <si>
    <t>NBT1212D29  1.5ISO  A9</t>
  </si>
  <si>
    <t>NBT1010C31  2.0ISO  A9</t>
  </si>
  <si>
    <t>NBT1009C27  1.75ISO  A9</t>
  </si>
  <si>
    <t>NBT0808D17  1.0ISO  A9</t>
  </si>
  <si>
    <t>NBT0808C27  1.75ISO  A9</t>
  </si>
  <si>
    <t>NBT08075C21  1.5ISO  A9</t>
  </si>
  <si>
    <t>NBT0606C18  1.25ISO  A9</t>
  </si>
  <si>
    <t>NBK2020C64  3.5ISO  A9</t>
  </si>
  <si>
    <t>NBK2020C50  3.5ISO  A9</t>
  </si>
  <si>
    <t>NBK1616F35  1.5ISO  A9</t>
  </si>
  <si>
    <t>NBK1616E39  2.0ISO  A9</t>
  </si>
  <si>
    <t>NBK1616C52  3.0ISO  A9</t>
  </si>
  <si>
    <t>NBK1616C40  3.0ISO  A9</t>
  </si>
  <si>
    <t>NBK1615D53  2.5ISO  A9</t>
  </si>
  <si>
    <t>NBK1414D43  2.5ISO  A9</t>
  </si>
  <si>
    <t>NBK1414D33  2.5ISO  A9</t>
  </si>
  <si>
    <t>NBK1212D43  2.0ISO  A9</t>
  </si>
  <si>
    <t>NBK1212D35  2.0ISO  A9</t>
  </si>
  <si>
    <t>NBK1212D29  1.5ISO  A9</t>
  </si>
  <si>
    <t>NBK1212D27  2.0ISO  A9</t>
  </si>
  <si>
    <t>NBK1212C51  2.0ISO  A9</t>
  </si>
  <si>
    <t>NBK1010C31  2.0ISO  A9</t>
  </si>
  <si>
    <t>NBK1010C23  2.0ISO  A9</t>
  </si>
  <si>
    <t>NBK1009C37  1.75ISO  A9</t>
  </si>
  <si>
    <t>NBK1009C32  1.75ISO  A9</t>
  </si>
  <si>
    <t>NBK1009C27  1.75ISO  A9</t>
  </si>
  <si>
    <t>NBK1009C20  1.75ISO  A9</t>
  </si>
  <si>
    <t>NBK0808D17  1.0ISO  A9</t>
  </si>
  <si>
    <t>NBK0808C27  1.75ISO  A9</t>
  </si>
  <si>
    <t>NBK0808C20  1.75ISO  A9</t>
  </si>
  <si>
    <t>NBK08075C32  1.5ISO  A9</t>
  </si>
  <si>
    <t>NBK08075C27  1.5ISO  A9</t>
  </si>
  <si>
    <t>NBK08075C21  1.5ISO  A9</t>
  </si>
  <si>
    <t>NBK08075C17  1.5ISO  A9</t>
  </si>
  <si>
    <t>NBK0606C21  1.25ISO  A9</t>
  </si>
  <si>
    <t>NBK0606C18  1.25ISO  A9</t>
  </si>
  <si>
    <t>NBK0606C14  1.25ISO  A9</t>
  </si>
  <si>
    <t>NBK06045C16  1.0ISO  A9</t>
  </si>
  <si>
    <t>NBK06045C13  1.0ISO  A9</t>
  </si>
  <si>
    <t>NBK06045C10  1.0ISO  A9</t>
  </si>
  <si>
    <t>NBK04038C8  0.8ISO  A9</t>
  </si>
  <si>
    <t>NBK04038C13  0.8ISO  A9</t>
  </si>
  <si>
    <t>NBK04038C10  0.8ISO  A9</t>
  </si>
  <si>
    <t>NB2525F57  2.0ISO  A9</t>
  </si>
  <si>
    <t>NB2525D61  3.0ISO  A9</t>
  </si>
  <si>
    <t>NB2525C78  4.0ISO  A9</t>
  </si>
  <si>
    <t>NB2525C61  6UN  A9</t>
  </si>
  <si>
    <t>NB2525C58  4.0ISO  A9</t>
  </si>
  <si>
    <t>NB2020F43  2.0ISO  A9</t>
  </si>
  <si>
    <t>NB2020D49  8UN  A9</t>
  </si>
  <si>
    <t>NB2020D46  3.0ISO  A9</t>
  </si>
  <si>
    <t>NB2020C78  3.5ISO  A9</t>
  </si>
  <si>
    <t>NB2020C64  3.5ISO  A9</t>
  </si>
  <si>
    <t>NB2020C52  7UN  A9</t>
  </si>
  <si>
    <t>NB2020C50  3.5ISO  A9</t>
  </si>
  <si>
    <t>NB1818C64  3.0ISO  A9</t>
  </si>
  <si>
    <t>NB1616F35  1.5ISO  A9</t>
  </si>
  <si>
    <t>NB1616E46  14UN  A9</t>
  </si>
  <si>
    <t>NB1616E43  12UN  A9</t>
  </si>
  <si>
    <t>NB1616E39  2.0ISO  A9</t>
  </si>
  <si>
    <t>NB1616E35  16UN  A9</t>
  </si>
  <si>
    <t>NB1616E35  14UN  A9</t>
  </si>
  <si>
    <t>NB1616C55  8UN  A9</t>
  </si>
  <si>
    <t>NB1616C52  3.0ISO  A9</t>
  </si>
  <si>
    <t>NB1616C49  9UN  A9</t>
  </si>
  <si>
    <t>NB1616C42  8UN  A9</t>
  </si>
  <si>
    <t>NB1616C40  3.0ISO  A9</t>
  </si>
  <si>
    <t>NB1616C38  9UN  A9</t>
  </si>
  <si>
    <t>NB1615D53  2.5ISO  A9</t>
  </si>
  <si>
    <t>NB1615C63  2.5ISO  A9</t>
  </si>
  <si>
    <t>NB1414D43  2.5ISO  A9</t>
  </si>
  <si>
    <t>NB1414D33  2.5ISO  A9</t>
  </si>
  <si>
    <t>NB1212F21  1.0ISO  A9</t>
  </si>
  <si>
    <t>NB1212E28  20UN  A9</t>
  </si>
  <si>
    <t>NB1212D43  2.0ISO  A9</t>
  </si>
  <si>
    <t>NB1212D40  16UN  A9</t>
  </si>
  <si>
    <t>NB1212D35  2.0ISO  A9</t>
  </si>
  <si>
    <t>NB1212D33  18UN  A9</t>
  </si>
  <si>
    <t>NB1212D31  16UN  A9</t>
  </si>
  <si>
    <t>NB1212D29  1.5ISO  A9</t>
  </si>
  <si>
    <t>NB1212D27  2.0ISO  A9</t>
  </si>
  <si>
    <t>NB1212D26  18UN  A9</t>
  </si>
  <si>
    <t>NB1212C51  2.0ISO  A9</t>
  </si>
  <si>
    <t>NB1212C48  2.5ISO  A9</t>
  </si>
  <si>
    <t>NB1212C41  10UN  A9</t>
  </si>
  <si>
    <t>NB1212C38  2.5ISO  A9</t>
  </si>
  <si>
    <t>NB1212C31  2.5ISO  A9</t>
  </si>
  <si>
    <t>NB1212C31  10UN  A9</t>
  </si>
  <si>
    <t>NB12117C42  11UN  A9</t>
  </si>
  <si>
    <t>NB1010D30  18UN  A9</t>
  </si>
  <si>
    <t>NB1010D27  20UN  A9</t>
  </si>
  <si>
    <t>NB1010D23  18UN  A9</t>
  </si>
  <si>
    <t>NB1010D23  1.5ISO  A9</t>
  </si>
  <si>
    <t>NB1010D21  20UN  A9</t>
  </si>
  <si>
    <t>NB1010C37  2.0ISO  A9</t>
  </si>
  <si>
    <t>NB1010C35  11UN  A9</t>
  </si>
  <si>
    <t>NB1010C31  2.0ISO  A9</t>
  </si>
  <si>
    <t>NB1010C30  12UN  A9</t>
  </si>
  <si>
    <t>NB1010C26  11UN  A9</t>
  </si>
  <si>
    <t>NB1010C24  12UN  A9</t>
  </si>
  <si>
    <t>NB1010C23  2.0ISO  A9</t>
  </si>
  <si>
    <t>NB1009C37  1.75ISO  A9</t>
  </si>
  <si>
    <t>NB1009C32  1.75ISO  A9</t>
  </si>
  <si>
    <t>NB1009C27  1.75ISO  A9</t>
  </si>
  <si>
    <t>NB1009C20  1.75ISO  A9</t>
  </si>
  <si>
    <t>NB10093C34  13UN  A9</t>
  </si>
  <si>
    <t>NB0808D17  28UN  A9</t>
  </si>
  <si>
    <t>NB0808D17  1.0ISO  A9</t>
  </si>
  <si>
    <t>NB0808C30  14UN  A9</t>
  </si>
  <si>
    <t>NB0808C28  13UN  A9</t>
  </si>
  <si>
    <t>NB0808C27  1.75ISO  A9</t>
  </si>
  <si>
    <t>NB0808C24  14UN  A9</t>
  </si>
  <si>
    <t>NB0808C23  20UN  A9</t>
  </si>
  <si>
    <t>NB0808C22  13UN  A9</t>
  </si>
  <si>
    <t>NB0808C20  1.75ISO  A9</t>
  </si>
  <si>
    <t>NB0808C19  14UN  A9</t>
  </si>
  <si>
    <t>NB0808C18  20UN  A9</t>
  </si>
  <si>
    <t>NB0807C26  16UN  A9</t>
  </si>
  <si>
    <t>NB08076C20  24UN  A9</t>
  </si>
  <si>
    <t>NB08076C15  24UN  A9</t>
  </si>
  <si>
    <t>NB08075C32  1.5ISO  A9</t>
  </si>
  <si>
    <t>NB08075C27  1.5ISO  A9</t>
  </si>
  <si>
    <t>NB08075C21  1.5ISO  A9</t>
  </si>
  <si>
    <t>NB08075C17  1.5ISO  A9</t>
  </si>
  <si>
    <t>NB0606D13  32UN  A9</t>
  </si>
  <si>
    <t>NB0606C25  1.25ISO  A9</t>
  </si>
  <si>
    <t>NB0606C21  16UN  A9</t>
  </si>
  <si>
    <t>NB0606C21  1.25ISO  A9</t>
  </si>
  <si>
    <t>NB0606C18  1.25ISO  A9</t>
  </si>
  <si>
    <t>NB0606C17  24UN  A9</t>
  </si>
  <si>
    <t>NB0606C16  16UN  A9</t>
  </si>
  <si>
    <t>NB0606C14  1.25ISO  A9</t>
  </si>
  <si>
    <t>NB0606C13  24UN  A9</t>
  </si>
  <si>
    <t>NB0606C13  1.0ISO  A9</t>
  </si>
  <si>
    <t>NB0605C14  28UN  A9</t>
  </si>
  <si>
    <t>NB0605C10  28UN  A9</t>
  </si>
  <si>
    <t>NB06058C21  18UN  A9</t>
  </si>
  <si>
    <t>NB06058C17  18UN  A9</t>
  </si>
  <si>
    <t>NB06058C13  18UN  A9</t>
  </si>
  <si>
    <t>NB06045C19  1.0ISO  A9</t>
  </si>
  <si>
    <t>NB06045C17  20UN  A9</t>
  </si>
  <si>
    <t>NB06045C16  1.0ISO  A9</t>
  </si>
  <si>
    <t>NB06045C16  0.75ISO  A9</t>
  </si>
  <si>
    <t>NB06045C14  20UN  A9</t>
  </si>
  <si>
    <t>NB06045C13  1.0ISO  A9</t>
  </si>
  <si>
    <t>NB06045C10  20UN  A9</t>
  </si>
  <si>
    <t>NB06045C10  1.0ISO  A9</t>
  </si>
  <si>
    <t>NB06045C10  0.75ISO  A9</t>
  </si>
  <si>
    <t>NB0603C8  0.7ISO  A9</t>
  </si>
  <si>
    <t>NB0603C7  0.7ISO  A9</t>
  </si>
  <si>
    <t>NB0603C10  0.7ISO  A9</t>
  </si>
  <si>
    <t>NB06038C8  0.8ISO  A9</t>
  </si>
  <si>
    <t>NB06038C13  0.8ISO  A9</t>
  </si>
  <si>
    <t>NB06038C10  0.8ISO  A9</t>
  </si>
  <si>
    <t>NB06038C10  0.5ISO  A9</t>
  </si>
  <si>
    <t>NB06023C8  0.5ISO  A9</t>
  </si>
  <si>
    <t>NB06023C6  0.5ISO  A9</t>
  </si>
  <si>
    <t>NB06023C5  0.5ISO  A9</t>
  </si>
  <si>
    <t>NB0404C9  28UN  A9</t>
  </si>
  <si>
    <t>NB0404C15  24UN  A9</t>
  </si>
  <si>
    <t>NB0404C12  28UN  A9</t>
  </si>
  <si>
    <t>NB0404C12  24UN  A9</t>
  </si>
  <si>
    <t>NB0404C10  24UN  A9</t>
  </si>
  <si>
    <t>NB0403C9  32UN  A9</t>
  </si>
  <si>
    <t>NB0403C8  0.7ISO  A9</t>
  </si>
  <si>
    <t>NB0403C7  32UN  A9</t>
  </si>
  <si>
    <t>NB0403C7  0.7ISO  A9</t>
  </si>
  <si>
    <t>NB0403C11  32UN  A9</t>
  </si>
  <si>
    <t>NB0403C10  0.7ISO  A9</t>
  </si>
  <si>
    <t>NB04038C9  24UN  A9</t>
  </si>
  <si>
    <t>NB04038C8  0.8ISO  A9</t>
  </si>
  <si>
    <t>NB04038C13  24UN  A9</t>
  </si>
  <si>
    <t>NB04038C13  0.8ISO  A9</t>
  </si>
  <si>
    <t>NB04038C11  24UN  A9</t>
  </si>
  <si>
    <t>NB04038C10  0.8ISO  A9</t>
  </si>
  <si>
    <t>NB04038C10  0.5ISO  A9</t>
  </si>
  <si>
    <t>NB04036C8  32UN  A9</t>
  </si>
  <si>
    <t>NB04036C10  32UN  A9</t>
  </si>
  <si>
    <t>NB04034C7  0.75ISO  A9</t>
  </si>
  <si>
    <t>NB04034C10  0.75ISO  A9</t>
  </si>
  <si>
    <t>NB04031C9  36UN  A9</t>
  </si>
  <si>
    <t>NB04031C7  36UN  A9</t>
  </si>
  <si>
    <t>NB04026C8  0.6ISO  A9</t>
  </si>
  <si>
    <t>NB04026C6  40UN  A9</t>
  </si>
  <si>
    <t>NB04026C6  0.6ISO  A9</t>
  </si>
  <si>
    <t>NB04025C8  32UN  A9</t>
  </si>
  <si>
    <t>NB04025C6  32UN  A9</t>
  </si>
  <si>
    <t>NB04025C10  32UN  A9</t>
  </si>
  <si>
    <t>NB04024C5  44UN  A9</t>
  </si>
  <si>
    <t>NB04023C8  40UN  A9</t>
  </si>
  <si>
    <t>NB04023C8  0.5ISO  A9</t>
  </si>
  <si>
    <t>NB04023C7  40UN  A9</t>
  </si>
  <si>
    <t>NB04023C6  0.5ISO  A9</t>
  </si>
  <si>
    <t>NB04023C5  40UN  A9</t>
  </si>
  <si>
    <t>NB04023C5  0.5ISO  A9</t>
  </si>
  <si>
    <t>NB04019C5  0.45ISO  A9</t>
  </si>
  <si>
    <t>NB04019C4  0.45ISO  A9</t>
  </si>
  <si>
    <t>NB04016C5  0.45ISO  A9</t>
  </si>
  <si>
    <t>NB04016C3  0.45ISO  A9</t>
  </si>
  <si>
    <t>NB04015C4  0.4ISO  A9</t>
  </si>
  <si>
    <t>NB04015C3  0.4ISO  A9</t>
  </si>
  <si>
    <t>EB1616D35  2.0ISO  A9</t>
  </si>
  <si>
    <t>EB1212D26  1.5ISO  A9</t>
  </si>
  <si>
    <t>EB1010D21  1.0ISO  A9</t>
  </si>
  <si>
    <t>info@whizcut.se</t>
  </si>
  <si>
    <t>www.whizcut.se</t>
  </si>
  <si>
    <t>Tel +46 42 322 500</t>
  </si>
  <si>
    <t>Fax +46 42 130 880</t>
  </si>
  <si>
    <t>WhizTrill</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</si>
</sst>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kr&quot;;\-#,##0&quot; kr&quot;"/>
    <numFmt numFmtId="165" formatCode="#,##0&quot; kr&quot;;[Red]\-#,##0&quot; kr&quot;"/>
    <numFmt numFmtId="166" formatCode="#,##0.00&quot; kr&quot;;\-#,##0.00&quot; kr&quot;"/>
    <numFmt numFmtId="167" formatCode="#,##0.00&quot; kr&quot;;[Red]\-#,##0.00&quot; kr&quot;"/>
    <numFmt numFmtId="168" formatCode="_-* #,##0&quot; kr&quot;_-;\-* #,##0&quot; kr&quot;_-;_-* &quot;-&quot;&quot; kr&quot;_-;_-@_-"/>
    <numFmt numFmtId="169" formatCode="_-* #,##0_ _k_r_-;\-* #,##0_ _k_r_-;_-* &quot;-&quot;_ _k_r_-;_-@_-"/>
    <numFmt numFmtId="170" formatCode="_-* #,##0.00&quot; kr&quot;_-;\-* #,##0.00&quot; kr&quot;_-;_-* &quot;-&quot;??&quot; kr&quot;_-;_-@_-"/>
    <numFmt numFmtId="171" formatCode="_-* #,##0.00_ _k_r_-;\-* #,##0.00_ _k_r_-;_-* &quot;-&quot;??_ _k_r_-;_-@_-"/>
    <numFmt numFmtId="172" formatCode="#,##0&quot;kr&quot;;\-#,##0&quot;kr&quot;"/>
    <numFmt numFmtId="173" formatCode="#,##0&quot;kr&quot;;[Red]\-#,##0&quot;kr&quot;"/>
    <numFmt numFmtId="174" formatCode="#,##0.00&quot;kr&quot;;\-#,##0.00&quot;kr&quot;"/>
    <numFmt numFmtId="175" formatCode="#,##0.00&quot;kr&quot;;[Red]\-#,##0.00&quot;kr&quot;"/>
    <numFmt numFmtId="176" formatCode="_-* #,##0&quot;kr&quot;_-;\-* #,##0&quot;kr&quot;_-;_-* &quot;-&quot;&quot;kr&quot;_-;_-@_-"/>
    <numFmt numFmtId="177" formatCode="_-* #,##0_k_r_-;\-* #,##0_k_r_-;_-* &quot;-&quot;_k_r_-;_-@_-"/>
    <numFmt numFmtId="178" formatCode="_-* #,##0.00&quot;kr&quot;_-;\-* #,##0.00&quot;kr&quot;_-;_-* &quot;-&quot;??&quot;kr&quot;_-;_-@_-"/>
    <numFmt numFmtId="179" formatCode="_-* #,##0.00_k_r_-;\-* #,##0.00_k_r_-;_-* &quot;-&quot;??_k_r_-;_-@_-"/>
    <numFmt numFmtId="180" formatCode="0.000"/>
    <numFmt numFmtId="181" formatCode="0.0"/>
    <numFmt numFmtId="182" formatCode="##\-####\-###\-#"/>
  </numFmts>
  <fonts count="7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sz val="9"/>
      <name val="Verdana"/>
      <family val="2"/>
    </font>
    <font>
      <b/>
      <u val="single"/>
      <sz val="10"/>
      <name val="Verdana"/>
      <family val="0"/>
    </font>
    <font>
      <sz val="10"/>
      <name val="Geneva"/>
      <family val="0"/>
    </font>
    <font>
      <b/>
      <sz val="9"/>
      <name val="Verdana"/>
      <family val="2"/>
    </font>
    <font>
      <b/>
      <sz val="9"/>
      <color indexed="10"/>
      <name val="Verdana"/>
      <family val="2"/>
    </font>
    <font>
      <u val="single"/>
      <sz val="9"/>
      <color indexed="12"/>
      <name val="Verdana"/>
      <family val="0"/>
    </font>
    <font>
      <sz val="7"/>
      <name val="Verdana"/>
      <family val="0"/>
    </font>
    <font>
      <b/>
      <sz val="11"/>
      <name val="Verdana"/>
      <family val="2"/>
    </font>
    <font>
      <b/>
      <u val="single"/>
      <sz val="11"/>
      <name val="Verdana"/>
      <family val="0"/>
    </font>
    <font>
      <b/>
      <sz val="11"/>
      <color indexed="10"/>
      <name val="Verdana"/>
      <family val="0"/>
    </font>
    <font>
      <sz val="9"/>
      <name val="Arial"/>
      <family val="2"/>
    </font>
    <font>
      <b/>
      <sz val="11"/>
      <name val="Arial"/>
      <family val="2"/>
    </font>
    <font>
      <sz val="11"/>
      <name val="Arial"/>
      <family val="2"/>
    </font>
    <font>
      <sz val="10"/>
      <name val="細明體"/>
      <family val="3"/>
    </font>
    <font>
      <sz val="9"/>
      <name val="細明體"/>
      <family val="3"/>
    </font>
    <font>
      <sz val="9"/>
      <name val="新細明體"/>
      <family val="1"/>
    </font>
    <font>
      <sz val="9"/>
      <name val="돋움"/>
      <family val="3"/>
    </font>
    <font>
      <b/>
      <sz val="11"/>
      <name val="돋움"/>
      <family val="3"/>
    </font>
    <font>
      <sz val="9"/>
      <name val="ＭＳ Ｐゴシック"/>
      <family val="3"/>
    </font>
    <font>
      <b/>
      <sz val="9"/>
      <name val="ＭＳ Ｐゴシック"/>
      <family val="0"/>
    </font>
    <font>
      <b/>
      <sz val="10"/>
      <name val="ＭＳ Ｐゴシック"/>
      <family val="3"/>
    </font>
    <font>
      <sz val="10"/>
      <name val="宋体"/>
      <family val="0"/>
    </font>
    <font>
      <sz val="10"/>
      <name val="Arial"/>
      <family val="2"/>
    </font>
    <font>
      <sz val="10"/>
      <color indexed="8"/>
      <name val="宋体"/>
      <family val="0"/>
    </font>
    <font>
      <sz val="10"/>
      <color indexed="8"/>
      <name val="Arial"/>
      <family val="2"/>
    </font>
    <font>
      <b/>
      <sz val="11"/>
      <name val="宋体"/>
      <family val="0"/>
    </font>
    <font>
      <sz val="9"/>
      <name val="宋体"/>
      <family val="0"/>
    </font>
    <font>
      <b/>
      <sz val="9"/>
      <name val="宋体"/>
      <family val="0"/>
    </font>
    <font>
      <sz val="9"/>
      <color indexed="8"/>
      <name val="Arial"/>
      <family val="2"/>
    </font>
    <font>
      <sz val="12"/>
      <color indexed="8"/>
      <name val="Calibri"/>
      <family val="2"/>
    </font>
    <font>
      <sz val="12"/>
      <color indexed="9"/>
      <name val="Calibri"/>
      <family val="2"/>
    </font>
    <font>
      <b/>
      <sz val="12"/>
      <color indexed="52"/>
      <name val="Calibri"/>
      <family val="2"/>
    </font>
    <font>
      <sz val="12"/>
      <color indexed="17"/>
      <name val="Calibri"/>
      <family val="2"/>
    </font>
    <font>
      <sz val="12"/>
      <color indexed="14"/>
      <name val="Calibri"/>
      <family val="2"/>
    </font>
    <font>
      <i/>
      <sz val="12"/>
      <color indexed="23"/>
      <name val="Calibri"/>
      <family val="2"/>
    </font>
    <font>
      <sz val="12"/>
      <color indexed="62"/>
      <name val="Calibri"/>
      <family val="2"/>
    </font>
    <font>
      <b/>
      <sz val="12"/>
      <color indexed="9"/>
      <name val="Calibri"/>
      <family val="2"/>
    </font>
    <font>
      <sz val="12"/>
      <color indexed="52"/>
      <name val="Calibri"/>
      <family val="2"/>
    </font>
    <font>
      <sz val="1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63"/>
      <name val="Calibri"/>
      <family val="2"/>
    </font>
    <font>
      <sz val="12"/>
      <color indexed="10"/>
      <name val="Calibri"/>
      <family val="2"/>
    </font>
    <font>
      <b/>
      <sz val="22"/>
      <color indexed="18"/>
      <name val="Verdana"/>
      <family val="0"/>
    </font>
    <font>
      <sz val="12"/>
      <color theme="1"/>
      <name val="Calibri"/>
      <family val="2"/>
    </font>
    <font>
      <sz val="12"/>
      <color theme="0"/>
      <name val="Calibri"/>
      <family val="2"/>
    </font>
    <font>
      <b/>
      <sz val="12"/>
      <color rgb="FFFA7D00"/>
      <name val="Calibri"/>
      <family val="2"/>
    </font>
    <font>
      <sz val="12"/>
      <color rgb="FF006100"/>
      <name val="Calibri"/>
      <family val="2"/>
    </font>
    <font>
      <sz val="12"/>
      <color rgb="FF9C0006"/>
      <name val="Calibri"/>
      <family val="2"/>
    </font>
    <font>
      <i/>
      <sz val="12"/>
      <color rgb="FF7F7F7F"/>
      <name val="Calibri"/>
      <family val="2"/>
    </font>
    <font>
      <sz val="12"/>
      <color rgb="FF3F3F76"/>
      <name val="Calibri"/>
      <family val="2"/>
    </font>
    <font>
      <b/>
      <sz val="12"/>
      <color theme="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sz val="12"/>
      <color rgb="FFFF0000"/>
      <name val="Calibri"/>
      <family val="2"/>
    </font>
    <font>
      <b/>
      <sz val="22"/>
      <color rgb="FF000090"/>
      <name val="Verdan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0" fillId="20" borderId="1" applyNumberFormat="0" applyFont="0" applyAlignment="0" applyProtection="0"/>
    <xf numFmtId="0" fontId="56" fillId="21" borderId="2" applyNumberFormat="0" applyAlignment="0" applyProtection="0"/>
    <xf numFmtId="0" fontId="57"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8" fillId="29" borderId="0" applyNumberFormat="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2" applyNumberFormat="0" applyAlignment="0" applyProtection="0"/>
    <xf numFmtId="0" fontId="61" fillId="31" borderId="3" applyNumberFormat="0" applyAlignment="0" applyProtection="0"/>
    <xf numFmtId="0" fontId="62" fillId="0" borderId="4" applyNumberFormat="0" applyFill="0" applyAlignment="0" applyProtection="0"/>
    <xf numFmtId="0" fontId="63" fillId="32"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21"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cellStyleXfs>
  <cellXfs count="15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left"/>
    </xf>
    <xf numFmtId="0" fontId="7" fillId="0" borderId="0" xfId="0" applyFont="1" applyFill="1" applyAlignment="1">
      <alignment/>
    </xf>
    <xf numFmtId="1" fontId="7" fillId="0" borderId="0" xfId="0" applyNumberFormat="1" applyFont="1" applyAlignment="1">
      <alignment horizontal="center"/>
    </xf>
    <xf numFmtId="2" fontId="10" fillId="0" borderId="0" xfId="0" applyNumberFormat="1" applyFont="1" applyAlignment="1">
      <alignment horizontal="center"/>
    </xf>
    <xf numFmtId="181" fontId="7" fillId="0" borderId="0" xfId="0" applyNumberFormat="1" applyFont="1" applyAlignment="1">
      <alignment horizontal="center"/>
    </xf>
    <xf numFmtId="0" fontId="10" fillId="0" borderId="0" xfId="0" applyFont="1" applyAlignment="1">
      <alignment horizontal="center"/>
    </xf>
    <xf numFmtId="2" fontId="7" fillId="0" borderId="0" xfId="0" applyNumberFormat="1" applyFont="1" applyAlignment="1">
      <alignment horizontal="center"/>
    </xf>
    <xf numFmtId="180" fontId="7" fillId="0" borderId="0" xfId="0" applyNumberFormat="1" applyFont="1" applyAlignment="1">
      <alignment horizontal="center"/>
    </xf>
    <xf numFmtId="180" fontId="7" fillId="33" borderId="0" xfId="0" applyNumberFormat="1" applyFont="1" applyFill="1" applyAlignment="1">
      <alignment horizontal="center"/>
    </xf>
    <xf numFmtId="0" fontId="10" fillId="0" borderId="0" xfId="0" applyFont="1" applyFill="1" applyAlignment="1">
      <alignment horizontal="center"/>
    </xf>
    <xf numFmtId="181" fontId="10" fillId="0" borderId="0" xfId="0" applyNumberFormat="1" applyFont="1" applyAlignment="1">
      <alignment horizontal="center"/>
    </xf>
    <xf numFmtId="1" fontId="10" fillId="0" borderId="0" xfId="0" applyNumberFormat="1" applyFont="1" applyAlignment="1">
      <alignment horizontal="center"/>
    </xf>
    <xf numFmtId="180" fontId="10" fillId="0" borderId="0" xfId="0" applyNumberFormat="1" applyFont="1" applyAlignment="1">
      <alignment horizontal="center"/>
    </xf>
    <xf numFmtId="1" fontId="10" fillId="0" borderId="0" xfId="0" applyNumberFormat="1" applyFont="1" applyFill="1" applyAlignment="1">
      <alignment horizontal="center"/>
    </xf>
    <xf numFmtId="0" fontId="7" fillId="0" borderId="0" xfId="0" applyNumberFormat="1" applyFont="1" applyAlignment="1">
      <alignment horizontal="center"/>
    </xf>
    <xf numFmtId="0" fontId="7" fillId="0" borderId="0" xfId="0" applyNumberFormat="1" applyFont="1" applyFill="1" applyAlignment="1">
      <alignment horizontal="center"/>
    </xf>
    <xf numFmtId="0" fontId="7" fillId="33" borderId="0" xfId="0" applyFont="1" applyFill="1" applyAlignment="1">
      <alignment horizontal="center"/>
    </xf>
    <xf numFmtId="0" fontId="7" fillId="0" borderId="0" xfId="0" applyFont="1" applyFill="1" applyAlignment="1">
      <alignment horizontal="center"/>
    </xf>
    <xf numFmtId="0" fontId="7" fillId="34" borderId="0" xfId="0" applyFont="1" applyFill="1" applyAlignment="1">
      <alignment horizontal="center"/>
    </xf>
    <xf numFmtId="0" fontId="7" fillId="35" borderId="0" xfId="0" applyNumberFormat="1" applyFont="1" applyFill="1" applyAlignment="1">
      <alignment horizontal="center"/>
    </xf>
    <xf numFmtId="0" fontId="0" fillId="0" borderId="0" xfId="0" applyFill="1" applyAlignment="1">
      <alignment/>
    </xf>
    <xf numFmtId="0" fontId="0" fillId="0" borderId="0" xfId="0" applyAlignment="1">
      <alignment horizontal="center"/>
    </xf>
    <xf numFmtId="180" fontId="0" fillId="34" borderId="0" xfId="0" applyNumberFormat="1" applyFill="1" applyAlignment="1">
      <alignment horizontal="center"/>
    </xf>
    <xf numFmtId="0" fontId="0" fillId="33" borderId="0" xfId="0" applyFill="1" applyAlignment="1">
      <alignment horizontal="center"/>
    </xf>
    <xf numFmtId="2" fontId="0" fillId="0" borderId="0" xfId="0" applyNumberFormat="1" applyAlignment="1">
      <alignment horizontal="center"/>
    </xf>
    <xf numFmtId="181" fontId="0" fillId="0" borderId="0" xfId="0" applyNumberFormat="1" applyAlignment="1">
      <alignment horizontal="center"/>
    </xf>
    <xf numFmtId="2" fontId="0" fillId="34" borderId="0" xfId="0" applyNumberFormat="1" applyFill="1" applyAlignment="1">
      <alignment horizontal="center"/>
    </xf>
    <xf numFmtId="2" fontId="7" fillId="0" borderId="0" xfId="0" applyNumberFormat="1" applyFont="1" applyFill="1" applyAlignment="1">
      <alignment horizontal="center"/>
    </xf>
    <xf numFmtId="2" fontId="7" fillId="0" borderId="0" xfId="0" applyNumberFormat="1" applyFont="1" applyAlignment="1">
      <alignment horizontal="left"/>
    </xf>
    <xf numFmtId="0" fontId="7" fillId="0" borderId="0" xfId="0" applyFont="1" applyAlignment="1">
      <alignment horizontal="center"/>
    </xf>
    <xf numFmtId="0" fontId="7" fillId="0" borderId="0" xfId="0" applyFont="1" applyAlignment="1">
      <alignment/>
    </xf>
    <xf numFmtId="180" fontId="0" fillId="0" borderId="0" xfId="0" applyNumberForma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10" fillId="0" borderId="0" xfId="0" applyNumberFormat="1" applyFont="1" applyAlignment="1">
      <alignment horizontal="center"/>
    </xf>
    <xf numFmtId="0" fontId="7" fillId="33" borderId="0" xfId="0" applyNumberFormat="1" applyFont="1" applyFill="1" applyAlignment="1">
      <alignment horizontal="center"/>
    </xf>
    <xf numFmtId="0" fontId="8" fillId="0" borderId="0" xfId="0" applyFont="1" applyFill="1" applyAlignment="1">
      <alignment/>
    </xf>
    <xf numFmtId="0" fontId="0" fillId="0" borderId="0" xfId="0" applyNumberFormat="1" applyAlignment="1">
      <alignment horizontal="center"/>
    </xf>
    <xf numFmtId="0" fontId="0" fillId="0" borderId="0" xfId="0" applyFill="1" applyAlignment="1">
      <alignment horizontal="center"/>
    </xf>
    <xf numFmtId="0" fontId="7" fillId="0" borderId="0" xfId="0" applyFont="1" applyAlignment="1">
      <alignment horizontal="left"/>
    </xf>
    <xf numFmtId="0" fontId="7" fillId="0" borderId="0" xfId="0" applyNumberFormat="1" applyFont="1" applyAlignment="1">
      <alignment horizontal="left"/>
    </xf>
    <xf numFmtId="0" fontId="0" fillId="34" borderId="0" xfId="0" applyFill="1" applyAlignment="1">
      <alignment/>
    </xf>
    <xf numFmtId="0" fontId="7" fillId="34" borderId="0" xfId="0" applyNumberFormat="1" applyFont="1" applyFill="1" applyAlignment="1">
      <alignment horizontal="center"/>
    </xf>
    <xf numFmtId="0" fontId="0" fillId="34" borderId="0" xfId="0" applyFill="1" applyAlignment="1">
      <alignment horizontal="center"/>
    </xf>
    <xf numFmtId="0" fontId="10" fillId="34" borderId="0" xfId="0" applyNumberFormat="1" applyFont="1" applyFill="1" applyAlignment="1">
      <alignment horizontal="center"/>
    </xf>
    <xf numFmtId="0" fontId="0" fillId="33" borderId="0" xfId="0" applyNumberFormat="1" applyFill="1" applyAlignment="1">
      <alignment horizontal="center"/>
    </xf>
    <xf numFmtId="0" fontId="7" fillId="0" borderId="0" xfId="0" applyFont="1" applyFill="1" applyAlignment="1">
      <alignment/>
    </xf>
    <xf numFmtId="0" fontId="7" fillId="34" borderId="0" xfId="0" applyFont="1" applyFill="1" applyAlignment="1">
      <alignment/>
    </xf>
    <xf numFmtId="0" fontId="14" fillId="34" borderId="0" xfId="0" applyFont="1" applyFill="1" applyAlignment="1">
      <alignment wrapText="1"/>
    </xf>
    <xf numFmtId="0" fontId="7" fillId="34" borderId="0" xfId="0" applyFont="1" applyFill="1" applyAlignment="1">
      <alignment vertical="top" wrapText="1"/>
    </xf>
    <xf numFmtId="0" fontId="7" fillId="34" borderId="0" xfId="0" applyFont="1" applyFill="1" applyAlignment="1">
      <alignment wrapText="1"/>
    </xf>
    <xf numFmtId="0" fontId="14" fillId="0" borderId="0" xfId="0" applyFont="1" applyFill="1" applyAlignment="1">
      <alignment wrapText="1"/>
    </xf>
    <xf numFmtId="0" fontId="7" fillId="0" borderId="0" xfId="0" applyFont="1" applyFill="1" applyAlignment="1">
      <alignment vertical="top" wrapText="1"/>
    </xf>
    <xf numFmtId="0" fontId="7" fillId="0" borderId="0" xfId="0" applyFont="1" applyFill="1" applyAlignment="1">
      <alignment wrapText="1"/>
    </xf>
    <xf numFmtId="2" fontId="1" fillId="0" borderId="0" xfId="0" applyNumberFormat="1" applyFont="1" applyAlignment="1">
      <alignment horizontal="right"/>
    </xf>
    <xf numFmtId="2" fontId="0" fillId="0" borderId="0" xfId="0" applyNumberFormat="1" applyAlignment="1">
      <alignment/>
    </xf>
    <xf numFmtId="0" fontId="0" fillId="35" borderId="0" xfId="0" applyFill="1" applyAlignment="1" applyProtection="1">
      <alignment horizontal="center"/>
      <protection locked="0"/>
    </xf>
    <xf numFmtId="14" fontId="7" fillId="0" borderId="0" xfId="0" applyNumberFormat="1" applyFont="1" applyAlignment="1">
      <alignment/>
    </xf>
    <xf numFmtId="0" fontId="0" fillId="33" borderId="0" xfId="0" applyFont="1" applyFill="1" applyAlignment="1" applyProtection="1">
      <alignment/>
      <protection hidden="1"/>
    </xf>
    <xf numFmtId="0" fontId="7" fillId="33" borderId="0" xfId="0" applyFont="1" applyFill="1" applyAlignment="1" applyProtection="1">
      <alignment/>
      <protection hidden="1"/>
    </xf>
    <xf numFmtId="0" fontId="0" fillId="33" borderId="0" xfId="0" applyFont="1" applyFill="1" applyAlignment="1" applyProtection="1">
      <alignment/>
      <protection hidden="1"/>
    </xf>
    <xf numFmtId="0" fontId="15" fillId="33" borderId="0" xfId="0" applyFont="1" applyFill="1" applyAlignment="1" applyProtection="1">
      <alignment/>
      <protection hidden="1"/>
    </xf>
    <xf numFmtId="0" fontId="12" fillId="33" borderId="0" xfId="45" applyFont="1" applyFill="1" applyAlignment="1" applyProtection="1">
      <alignment/>
      <protection hidden="1"/>
    </xf>
    <xf numFmtId="0" fontId="10" fillId="33" borderId="0" xfId="0" applyFont="1" applyFill="1" applyAlignment="1" applyProtection="1">
      <alignment/>
      <protection hidden="1"/>
    </xf>
    <xf numFmtId="0" fontId="11" fillId="33" borderId="0" xfId="0" applyFont="1" applyFill="1" applyAlignment="1" applyProtection="1">
      <alignment horizontal="center"/>
      <protection hidden="1"/>
    </xf>
    <xf numFmtId="0" fontId="10" fillId="33" borderId="0" xfId="0" applyFont="1" applyFill="1" applyAlignment="1" applyProtection="1">
      <alignment/>
      <protection hidden="1"/>
    </xf>
    <xf numFmtId="0" fontId="11" fillId="0" borderId="10" xfId="0" applyFont="1" applyFill="1" applyBorder="1" applyAlignment="1" applyProtection="1">
      <alignment horizontal="center"/>
      <protection hidden="1" locked="0"/>
    </xf>
    <xf numFmtId="0" fontId="13" fillId="33" borderId="0" xfId="0" applyFont="1" applyFill="1" applyAlignment="1" applyProtection="1">
      <alignment horizontal="left"/>
      <protection hidden="1"/>
    </xf>
    <xf numFmtId="0" fontId="11" fillId="0" borderId="11" xfId="0" applyFont="1" applyFill="1" applyBorder="1" applyAlignment="1" applyProtection="1">
      <alignment horizontal="center"/>
      <protection hidden="1" locked="0"/>
    </xf>
    <xf numFmtId="0" fontId="11" fillId="0" borderId="12" xfId="0" applyFont="1" applyFill="1" applyBorder="1" applyAlignment="1" applyProtection="1">
      <alignment horizontal="center"/>
      <protection hidden="1" locked="0"/>
    </xf>
    <xf numFmtId="0" fontId="11" fillId="33" borderId="0" xfId="0" applyFont="1" applyFill="1" applyBorder="1" applyAlignment="1" applyProtection="1">
      <alignment horizontal="center"/>
      <protection hidden="1"/>
    </xf>
    <xf numFmtId="0" fontId="11" fillId="0" borderId="10" xfId="0" applyNumberFormat="1" applyFont="1" applyFill="1" applyBorder="1" applyAlignment="1" applyProtection="1">
      <alignment horizontal="center"/>
      <protection hidden="1" locked="0"/>
    </xf>
    <xf numFmtId="0" fontId="11" fillId="0" borderId="11" xfId="0" applyNumberFormat="1" applyFont="1" applyFill="1" applyBorder="1" applyAlignment="1" applyProtection="1">
      <alignment horizontal="center"/>
      <protection hidden="1" locked="0"/>
    </xf>
    <xf numFmtId="1" fontId="11" fillId="33" borderId="0" xfId="0" applyNumberFormat="1" applyFont="1" applyFill="1" applyBorder="1" applyAlignment="1" applyProtection="1">
      <alignment horizontal="center"/>
      <protection hidden="1"/>
    </xf>
    <xf numFmtId="180" fontId="11" fillId="33" borderId="0" xfId="0" applyNumberFormat="1" applyFont="1" applyFill="1" applyBorder="1" applyAlignment="1" applyProtection="1">
      <alignment horizontal="center"/>
      <protection hidden="1"/>
    </xf>
    <xf numFmtId="180" fontId="11" fillId="0" borderId="11" xfId="0" applyNumberFormat="1" applyFont="1" applyFill="1" applyBorder="1" applyAlignment="1" applyProtection="1">
      <alignment horizontal="center"/>
      <protection hidden="1" locked="0"/>
    </xf>
    <xf numFmtId="3" fontId="11" fillId="33" borderId="0" xfId="0" applyNumberFormat="1" applyFont="1" applyFill="1" applyAlignment="1" applyProtection="1">
      <alignment horizontal="center"/>
      <protection hidden="1"/>
    </xf>
    <xf numFmtId="0" fontId="4" fillId="33" borderId="0" xfId="45" applyFont="1" applyFill="1" applyAlignment="1" applyProtection="1">
      <alignment/>
      <protection hidden="1"/>
    </xf>
    <xf numFmtId="0" fontId="0" fillId="33" borderId="0" xfId="0" applyFont="1" applyFill="1" applyAlignment="1" applyProtection="1">
      <alignment/>
      <protection hidden="1"/>
    </xf>
    <xf numFmtId="14" fontId="7" fillId="33" borderId="0" xfId="0" applyNumberFormat="1" applyFont="1" applyFill="1" applyAlignment="1" applyProtection="1">
      <alignment horizontal="left"/>
      <protection hidden="1"/>
    </xf>
    <xf numFmtId="0" fontId="16" fillId="34" borderId="0" xfId="0" applyFont="1" applyFill="1" applyAlignment="1">
      <alignment wrapText="1"/>
    </xf>
    <xf numFmtId="0" fontId="0" fillId="0" borderId="0" xfId="0" applyBorder="1" applyAlignment="1">
      <alignment/>
    </xf>
    <xf numFmtId="0" fontId="7" fillId="0" borderId="0" xfId="0" applyFont="1" applyBorder="1" applyAlignment="1">
      <alignment/>
    </xf>
    <xf numFmtId="0" fontId="7" fillId="0" borderId="0" xfId="0" applyNumberFormat="1" applyFont="1" applyBorder="1" applyAlignment="1">
      <alignment horizontal="left"/>
    </xf>
    <xf numFmtId="0" fontId="7" fillId="0" borderId="0" xfId="0" applyFont="1" applyBorder="1" applyAlignment="1">
      <alignment horizontal="left"/>
    </xf>
    <xf numFmtId="0" fontId="14" fillId="0" borderId="0" xfId="0" applyFont="1" applyBorder="1" applyAlignment="1">
      <alignment/>
    </xf>
    <xf numFmtId="0" fontId="7" fillId="0" borderId="0" xfId="0" applyFont="1" applyBorder="1" applyAlignment="1">
      <alignment vertical="top" wrapText="1"/>
    </xf>
    <xf numFmtId="0" fontId="14" fillId="0" borderId="0" xfId="0" applyFont="1" applyAlignment="1">
      <alignment/>
    </xf>
    <xf numFmtId="0" fontId="7" fillId="0" borderId="0" xfId="0" applyFont="1" applyAlignment="1">
      <alignment vertical="top" wrapText="1"/>
    </xf>
    <xf numFmtId="0" fontId="7" fillId="0" borderId="0" xfId="0" applyFont="1" applyAlignment="1">
      <alignment vertical="top"/>
    </xf>
    <xf numFmtId="0" fontId="14" fillId="0" borderId="0" xfId="0" applyFont="1" applyAlignment="1">
      <alignment vertical="top"/>
    </xf>
    <xf numFmtId="0" fontId="0" fillId="0" borderId="0" xfId="0" applyAlignment="1">
      <alignment wrapText="1"/>
    </xf>
    <xf numFmtId="0" fontId="1"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Fill="1" applyAlignment="1">
      <alignment/>
    </xf>
    <xf numFmtId="0" fontId="21" fillId="0" borderId="0" xfId="0" applyFont="1" applyFill="1" applyAlignment="1">
      <alignment/>
    </xf>
    <xf numFmtId="0" fontId="21" fillId="0" borderId="0" xfId="0" applyFont="1" applyAlignment="1">
      <alignment/>
    </xf>
    <xf numFmtId="0" fontId="20" fillId="0" borderId="0" xfId="0" applyFont="1" applyAlignment="1">
      <alignment wrapText="1"/>
    </xf>
    <xf numFmtId="0" fontId="0" fillId="0" borderId="0" xfId="0" applyFont="1" applyAlignment="1">
      <alignment wrapText="1"/>
    </xf>
    <xf numFmtId="0" fontId="7" fillId="0" borderId="0" xfId="0" applyFont="1" applyFill="1" applyAlignment="1">
      <alignment horizontal="left" vertical="top" wrapText="1"/>
    </xf>
    <xf numFmtId="0" fontId="23" fillId="0" borderId="0" xfId="0" applyFont="1" applyFill="1" applyAlignment="1">
      <alignment/>
    </xf>
    <xf numFmtId="0" fontId="23" fillId="0" borderId="0" xfId="0" applyFont="1" applyFill="1" applyAlignment="1">
      <alignment/>
    </xf>
    <xf numFmtId="0" fontId="23" fillId="0" borderId="0" xfId="0" applyFont="1" applyAlignment="1">
      <alignment/>
    </xf>
    <xf numFmtId="0" fontId="24" fillId="0" borderId="0" xfId="0" applyFont="1" applyAlignment="1">
      <alignment vertical="top" wrapText="1"/>
    </xf>
    <xf numFmtId="0" fontId="0" fillId="0" borderId="0" xfId="0" applyAlignment="1">
      <alignment vertical="top" wrapText="1"/>
    </xf>
    <xf numFmtId="0" fontId="25" fillId="0" borderId="0" xfId="0" applyFont="1" applyAlignment="1">
      <alignment/>
    </xf>
    <xf numFmtId="0" fontId="26" fillId="0" borderId="0" xfId="0" applyFont="1" applyAlignment="1">
      <alignment horizontal="center"/>
    </xf>
    <xf numFmtId="0" fontId="27" fillId="0" borderId="0" xfId="0" applyFont="1" applyAlignment="1">
      <alignment/>
    </xf>
    <xf numFmtId="0" fontId="27" fillId="0" borderId="0" xfId="0" applyFont="1" applyFill="1" applyAlignment="1">
      <alignment/>
    </xf>
    <xf numFmtId="0" fontId="7" fillId="33" borderId="0" xfId="0" applyFont="1" applyFill="1" applyAlignment="1" applyProtection="1">
      <alignment/>
      <protection hidden="1" locked="0"/>
    </xf>
    <xf numFmtId="0" fontId="0"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2" fillId="0" borderId="0" xfId="0" applyFont="1" applyAlignment="1">
      <alignment horizontal="left" vertical="top"/>
    </xf>
    <xf numFmtId="0" fontId="33" fillId="0" borderId="0" xfId="0" applyFont="1" applyAlignment="1">
      <alignment horizontal="left" vertical="top" wrapText="1"/>
    </xf>
    <xf numFmtId="0" fontId="29" fillId="0" borderId="0" xfId="0" applyFont="1" applyAlignment="1">
      <alignment horizontal="left" vertical="top"/>
    </xf>
    <xf numFmtId="0" fontId="17" fillId="0" borderId="0" xfId="0" applyFont="1" applyAlignment="1">
      <alignment horizontal="left" vertical="top" wrapText="1"/>
    </xf>
    <xf numFmtId="0" fontId="33" fillId="0" borderId="0" xfId="0" applyFont="1" applyAlignment="1">
      <alignment horizontal="left" vertical="top"/>
    </xf>
    <xf numFmtId="0" fontId="34" fillId="0" borderId="0" xfId="0" applyFont="1" applyAlignment="1">
      <alignment horizontal="center"/>
    </xf>
    <xf numFmtId="0" fontId="33" fillId="0" borderId="0" xfId="0" applyFont="1" applyAlignment="1">
      <alignment/>
    </xf>
    <xf numFmtId="0" fontId="17" fillId="0" borderId="0" xfId="0" applyFont="1" applyAlignment="1">
      <alignment vertical="top" wrapText="1"/>
    </xf>
    <xf numFmtId="0" fontId="23" fillId="0" borderId="0" xfId="0" applyFont="1" applyAlignment="1">
      <alignment vertical="top" wrapText="1"/>
    </xf>
    <xf numFmtId="0" fontId="7" fillId="34" borderId="0" xfId="0" applyFont="1" applyFill="1" applyAlignment="1">
      <alignment vertical="top"/>
    </xf>
    <xf numFmtId="0" fontId="25" fillId="0" borderId="0" xfId="0" applyFont="1" applyAlignment="1">
      <alignment vertical="top" wrapText="1" shrinkToFit="1"/>
    </xf>
    <xf numFmtId="0" fontId="21" fillId="0" borderId="0" xfId="0" applyFont="1" applyFill="1" applyBorder="1" applyAlignment="1">
      <alignment horizontal="left" vertical="top" wrapText="1"/>
    </xf>
    <xf numFmtId="0" fontId="25" fillId="0" borderId="0" xfId="0" applyFont="1" applyAlignment="1">
      <alignment vertical="top" wrapText="1"/>
    </xf>
    <xf numFmtId="0" fontId="21" fillId="0" borderId="0" xfId="0" applyFont="1" applyAlignment="1">
      <alignment vertical="top" wrapText="1"/>
    </xf>
    <xf numFmtId="0" fontId="25" fillId="0" borderId="0" xfId="0" applyFont="1" applyFill="1" applyAlignment="1">
      <alignment vertical="top" wrapText="1"/>
    </xf>
    <xf numFmtId="0" fontId="7" fillId="0" borderId="0" xfId="0" applyFont="1" applyAlignment="1">
      <alignment horizontal="left" vertical="top" wrapText="1"/>
    </xf>
    <xf numFmtId="0" fontId="25" fillId="0" borderId="0" xfId="0" applyFont="1" applyAlignment="1">
      <alignment vertical="top"/>
    </xf>
    <xf numFmtId="0" fontId="12" fillId="34" borderId="0" xfId="45" applyFont="1" applyFill="1" applyAlignment="1" applyProtection="1">
      <alignment horizontal="center" vertical="top"/>
      <protection/>
    </xf>
    <xf numFmtId="0" fontId="7" fillId="0" borderId="0" xfId="0" applyFont="1" applyBorder="1" applyAlignment="1">
      <alignment vertical="top"/>
    </xf>
    <xf numFmtId="0" fontId="7" fillId="0" borderId="0" xfId="0" applyFont="1" applyFill="1" applyAlignment="1">
      <alignment vertical="top"/>
    </xf>
    <xf numFmtId="0" fontId="7" fillId="34" borderId="0" xfId="0" applyNumberFormat="1" applyFont="1" applyFill="1" applyAlignment="1">
      <alignment/>
    </xf>
    <xf numFmtId="0" fontId="10" fillId="34" borderId="0" xfId="0" applyFont="1" applyFill="1" applyAlignment="1">
      <alignment horizontal="center"/>
    </xf>
    <xf numFmtId="0" fontId="8" fillId="0" borderId="0" xfId="0" applyFont="1" applyFill="1" applyAlignment="1">
      <alignment horizontal="left"/>
    </xf>
    <xf numFmtId="0" fontId="0" fillId="0" borderId="0" xfId="0" applyFont="1" applyAlignment="1">
      <alignment horizontal="center"/>
    </xf>
    <xf numFmtId="0" fontId="0" fillId="0" borderId="0" xfId="0" applyFont="1" applyAlignment="1">
      <alignment horizontal="center"/>
    </xf>
    <xf numFmtId="0" fontId="0" fillId="0" borderId="0" xfId="0" applyNumberFormat="1" applyFont="1" applyAlignment="1">
      <alignment horizontal="center"/>
    </xf>
    <xf numFmtId="1" fontId="0" fillId="0" borderId="0" xfId="0" applyNumberFormat="1" applyFont="1" applyAlignment="1">
      <alignment horizontal="center"/>
    </xf>
    <xf numFmtId="180" fontId="0" fillId="0" borderId="0" xfId="0" applyNumberFormat="1" applyFont="1" applyAlignment="1">
      <alignment horizontal="center"/>
    </xf>
    <xf numFmtId="0" fontId="0" fillId="34" borderId="0" xfId="0" applyFont="1" applyFill="1" applyAlignment="1">
      <alignment horizontal="center"/>
    </xf>
    <xf numFmtId="0" fontId="0" fillId="0" borderId="0" xfId="0" applyFont="1" applyAlignment="1">
      <alignment horizontal="left"/>
    </xf>
    <xf numFmtId="0" fontId="7" fillId="0" borderId="0" xfId="0" applyFont="1" applyFill="1" applyAlignment="1">
      <alignment horizontal="left"/>
    </xf>
    <xf numFmtId="0" fontId="0" fillId="35" borderId="0" xfId="0" applyFill="1" applyAlignment="1">
      <alignment/>
    </xf>
    <xf numFmtId="0" fontId="1" fillId="35" borderId="0" xfId="0" applyFont="1" applyFill="1" applyAlignment="1">
      <alignment/>
    </xf>
    <xf numFmtId="0" fontId="7" fillId="0" borderId="0" xfId="0" applyNumberFormat="1" applyFont="1" applyAlignment="1">
      <alignment vertical="top" wrapText="1"/>
    </xf>
    <xf numFmtId="0" fontId="4" fillId="33" borderId="0" xfId="45" applyFill="1" applyAlignment="1" applyProtection="1">
      <alignment/>
      <protection hidden="1"/>
    </xf>
    <xf numFmtId="0" fontId="71" fillId="33" borderId="0" xfId="0" applyFont="1" applyFill="1" applyAlignment="1" applyProtection="1">
      <alignment vertical="top"/>
      <protection hidden="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Felakt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Totalt" xfId="56"/>
    <cellStyle name="Comma" xfId="57"/>
    <cellStyle name="Comma [0]" xfId="58"/>
    <cellStyle name="Utdata" xfId="59"/>
    <cellStyle name="Currency" xfId="60"/>
    <cellStyle name="Currency [0]" xfId="61"/>
    <cellStyle name="Varningstext" xfId="62"/>
  </cellStyles>
  <dxfs count="2">
    <dxf>
      <font>
        <color indexed="55"/>
      </font>
    </dxf>
    <dxf>
      <font>
        <color rgb="FF969696"/>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552450</xdr:colOff>
      <xdr:row>10</xdr:row>
      <xdr:rowOff>76200</xdr:rowOff>
    </xdr:from>
    <xdr:to>
      <xdr:col>6</xdr:col>
      <xdr:colOff>1885950</xdr:colOff>
      <xdr:row>29</xdr:row>
      <xdr:rowOff>104775</xdr:rowOff>
    </xdr:to>
    <xdr:pic>
      <xdr:nvPicPr>
        <xdr:cNvPr id="1" name="Bildobjekt 9"/>
        <xdr:cNvPicPr preferRelativeResize="1">
          <a:picLocks noChangeAspect="1"/>
        </xdr:cNvPicPr>
      </xdr:nvPicPr>
      <xdr:blipFill>
        <a:blip r:embed="rId1"/>
        <a:stretch>
          <a:fillRect/>
        </a:stretch>
      </xdr:blipFill>
      <xdr:spPr>
        <a:xfrm>
          <a:off x="7734300" y="2076450"/>
          <a:ext cx="1333500" cy="3829050"/>
        </a:xfrm>
        <a:prstGeom prst="rect">
          <a:avLst/>
        </a:prstGeom>
        <a:noFill/>
        <a:ln w="9525" cmpd="sng">
          <a:noFill/>
        </a:ln>
      </xdr:spPr>
    </xdr:pic>
    <xdr:clientData/>
  </xdr:twoCellAnchor>
  <xdr:twoCellAnchor editAs="oneCell">
    <xdr:from>
      <xdr:col>6</xdr:col>
      <xdr:colOff>66675</xdr:colOff>
      <xdr:row>1</xdr:row>
      <xdr:rowOff>76200</xdr:rowOff>
    </xdr:from>
    <xdr:to>
      <xdr:col>6</xdr:col>
      <xdr:colOff>2152650</xdr:colOff>
      <xdr:row>3</xdr:row>
      <xdr:rowOff>38100</xdr:rowOff>
    </xdr:to>
    <xdr:pic>
      <xdr:nvPicPr>
        <xdr:cNvPr id="2" name="Picture 20"/>
        <xdr:cNvPicPr preferRelativeResize="1">
          <a:picLocks noChangeAspect="1"/>
        </xdr:cNvPicPr>
      </xdr:nvPicPr>
      <xdr:blipFill>
        <a:blip r:embed="rId2"/>
        <a:stretch>
          <a:fillRect/>
        </a:stretch>
      </xdr:blipFill>
      <xdr:spPr>
        <a:xfrm>
          <a:off x="7248525" y="276225"/>
          <a:ext cx="20859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whizcut.se" TargetMode="External" /><Relationship Id="rId2" Type="http://schemas.openxmlformats.org/officeDocument/2006/relationships/hyperlink" Target="http://www.whizcut.se" TargetMode="Externa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K300"/>
  <sheetViews>
    <sheetView showGridLines="0" showRowColHeaders="0" tabSelected="1" workbookViewId="0" topLeftCell="A1">
      <selection activeCell="C14" sqref="C14"/>
    </sheetView>
  </sheetViews>
  <sheetFormatPr defaultColWidth="8.125" defaultRowHeight="15.75" customHeight="1"/>
  <cols>
    <col min="1" max="1" width="2.75390625" style="0" customWidth="1"/>
    <col min="2" max="2" width="37.75390625" style="0" customWidth="1"/>
    <col min="3" max="4" width="7.25390625" style="0" customWidth="1"/>
    <col min="5" max="5" width="2.875" style="0" customWidth="1"/>
    <col min="6" max="6" width="36.375" style="34" customWidth="1"/>
    <col min="7" max="7" width="31.125" style="34" customWidth="1"/>
    <col min="8" max="8" width="11.875" style="0" hidden="1" customWidth="1"/>
    <col min="9" max="14" width="37.875" style="34" hidden="1" customWidth="1"/>
    <col min="15" max="15" width="37.875" style="0" hidden="1" customWidth="1"/>
    <col min="16" max="17" width="37.875" style="34" hidden="1" customWidth="1"/>
    <col min="18" max="18" width="37.875" style="0" hidden="1" customWidth="1"/>
    <col min="19" max="30" width="37.875" style="34" hidden="1" customWidth="1"/>
    <col min="31" max="31" width="10.75390625" style="0" hidden="1" customWidth="1"/>
    <col min="32" max="35" width="10.75390625" style="4" hidden="1" customWidth="1"/>
    <col min="36" max="36" width="22.625" style="0" hidden="1" customWidth="1"/>
    <col min="37" max="43" width="10.75390625" style="0" hidden="1" customWidth="1"/>
    <col min="44" max="44" width="10.75390625" style="60" hidden="1" customWidth="1"/>
    <col min="45" max="45" width="10.75390625" style="38" hidden="1" customWidth="1"/>
    <col min="46" max="49" width="10.75390625" style="25" hidden="1" customWidth="1"/>
    <col min="50" max="51" width="10.75390625" style="0" hidden="1" customWidth="1"/>
    <col min="52" max="52" width="23.625" style="0" hidden="1" customWidth="1"/>
    <col min="53" max="53" width="10.75390625" style="0" hidden="1" customWidth="1"/>
    <col min="54" max="54" width="22.00390625" style="0" hidden="1" customWidth="1"/>
    <col min="55" max="65" width="10.75390625" style="0" hidden="1" customWidth="1"/>
    <col min="66" max="66" width="12.125" style="0" hidden="1" customWidth="1"/>
    <col min="67" max="69" width="10.75390625" style="0" hidden="1" customWidth="1"/>
    <col min="70" max="70" width="10.75390625" style="25" hidden="1" customWidth="1"/>
    <col min="71" max="73" width="10.75390625" style="0" hidden="1" customWidth="1"/>
    <col min="74" max="76" width="10.875" style="0" hidden="1" customWidth="1"/>
    <col min="77" max="78" width="35.625" style="44" hidden="1" customWidth="1"/>
    <col min="79" max="79" width="31.25390625" style="44" hidden="1" customWidth="1"/>
    <col min="80" max="80" width="24.625" style="44" hidden="1" customWidth="1"/>
    <col min="81" max="84" width="30.25390625" style="44" hidden="1" customWidth="1"/>
    <col min="85" max="88" width="31.25390625" style="44" hidden="1" customWidth="1"/>
    <col min="89" max="91" width="32.75390625" style="4" hidden="1" customWidth="1"/>
    <col min="92" max="94" width="31.25390625" style="44" hidden="1" customWidth="1"/>
    <col min="95" max="95" width="32.00390625" style="44" hidden="1" customWidth="1"/>
    <col min="96" max="96" width="31.25390625" style="152" hidden="1" customWidth="1"/>
    <col min="97" max="97" width="35.625" style="44" hidden="1" customWidth="1"/>
    <col min="98" max="98" width="35.625" style="152" hidden="1" customWidth="1"/>
    <col min="99" max="99" width="35.625" style="44" hidden="1" customWidth="1"/>
    <col min="100" max="100" width="35.625" style="152" hidden="1" customWidth="1"/>
    <col min="101" max="101" width="35.625" style="44" hidden="1" customWidth="1"/>
    <col min="102" max="102" width="35.625" style="152" hidden="1" customWidth="1"/>
    <col min="103" max="114" width="35.625" style="44" hidden="1" customWidth="1"/>
    <col min="115" max="115" width="8.125" style="46" hidden="1" customWidth="1"/>
    <col min="116" max="116" width="15.125" style="0" hidden="1" customWidth="1"/>
    <col min="117" max="126" width="8.125" style="0" hidden="1" customWidth="1"/>
    <col min="127" max="127" width="8.125" style="25" hidden="1" customWidth="1"/>
    <col min="128" max="128" width="8.125" style="48" hidden="1" customWidth="1"/>
    <col min="129" max="129" width="11.00390625" style="25" hidden="1" customWidth="1"/>
    <col min="130" max="139" width="8.125" style="25" hidden="1" customWidth="1"/>
    <col min="140" max="140" width="8.125" style="0" hidden="1" customWidth="1"/>
    <col min="141" max="141" width="8.125" style="46" hidden="1" customWidth="1"/>
    <col min="142" max="142" width="11.00390625" style="0" hidden="1" customWidth="1"/>
    <col min="143" max="153" width="8.125" style="0" hidden="1" customWidth="1"/>
    <col min="154" max="154" width="8.125" style="46" hidden="1" customWidth="1"/>
    <col min="155" max="155" width="11.375" style="146" hidden="1" customWidth="1"/>
    <col min="156" max="158" width="8.125" style="146" hidden="1" customWidth="1"/>
    <col min="159" max="159" width="8.125" style="46" hidden="1" customWidth="1"/>
    <col min="160" max="163" width="8.125" style="0" hidden="1" customWidth="1"/>
    <col min="164" max="164" width="8.125" style="22" hidden="1" customWidth="1"/>
    <col min="165" max="168" width="8.125" style="21" hidden="1" customWidth="1"/>
    <col min="169" max="169" width="8.125" style="22" hidden="1" customWidth="1"/>
    <col min="170" max="181" width="8.125" style="33" hidden="1" customWidth="1"/>
    <col min="182" max="182" width="8.125" style="22" hidden="1" customWidth="1"/>
    <col min="183" max="194" width="8.125" style="33" hidden="1" customWidth="1"/>
    <col min="195" max="195" width="8.125" style="22" hidden="1" customWidth="1"/>
    <col min="196" max="207" width="8.125" style="33" hidden="1" customWidth="1"/>
    <col min="208" max="208" width="8.125" style="22" hidden="1" customWidth="1"/>
    <col min="209" max="209" width="8.125" style="33" hidden="1" customWidth="1"/>
    <col min="210" max="210" width="8.125" style="22" hidden="1" customWidth="1"/>
    <col min="211" max="211" width="8.125" style="33" hidden="1" customWidth="1"/>
    <col min="212" max="212" width="8.125" style="22" hidden="1" customWidth="1"/>
    <col min="213" max="213" width="8.125" style="33" hidden="1" customWidth="1"/>
    <col min="214" max="214" width="8.125" style="22" hidden="1" customWidth="1"/>
    <col min="215" max="215" width="8.125" style="33" hidden="1" customWidth="1"/>
    <col min="216" max="216" width="8.125" style="22" hidden="1" customWidth="1"/>
    <col min="217" max="217" width="8.125" style="33" hidden="1" customWidth="1"/>
    <col min="218" max="218" width="8.125" style="22" hidden="1" customWidth="1"/>
    <col min="219" max="233" width="0" style="33" hidden="1" customWidth="1"/>
    <col min="234" max="16384" width="8.125" style="33" customWidth="1"/>
  </cols>
  <sheetData>
    <row r="1" spans="1:158" ht="15.75" customHeight="1">
      <c r="A1" s="63"/>
      <c r="B1" s="63"/>
      <c r="C1" s="63"/>
      <c r="D1" s="63"/>
      <c r="E1" s="117"/>
      <c r="F1" s="64"/>
      <c r="G1" s="64"/>
      <c r="J1" s="36" t="s">
        <v>684</v>
      </c>
      <c r="K1" s="36" t="s">
        <v>626</v>
      </c>
      <c r="L1" s="36" t="s">
        <v>683</v>
      </c>
      <c r="M1" s="36" t="s">
        <v>627</v>
      </c>
      <c r="N1" s="36" t="s">
        <v>946</v>
      </c>
      <c r="O1" s="36" t="s">
        <v>1729</v>
      </c>
      <c r="P1" s="36" t="s">
        <v>695</v>
      </c>
      <c r="Q1" s="36" t="s">
        <v>696</v>
      </c>
      <c r="R1" s="36" t="s">
        <v>1728</v>
      </c>
      <c r="S1" s="36" t="s">
        <v>693</v>
      </c>
      <c r="T1" s="36" t="s">
        <v>697</v>
      </c>
      <c r="U1" s="36" t="s">
        <v>698</v>
      </c>
      <c r="V1" s="36" t="s">
        <v>694</v>
      </c>
      <c r="W1" s="36" t="s">
        <v>1183</v>
      </c>
      <c r="X1" s="36" t="s">
        <v>685</v>
      </c>
      <c r="Y1" s="36" t="s">
        <v>851</v>
      </c>
      <c r="Z1" s="36" t="s">
        <v>1409</v>
      </c>
      <c r="AA1" s="113" t="s">
        <v>1538</v>
      </c>
      <c r="AB1" s="36" t="s">
        <v>445</v>
      </c>
      <c r="AC1" s="127" t="s">
        <v>164</v>
      </c>
      <c r="AD1" s="36" t="s">
        <v>1659</v>
      </c>
      <c r="AF1" s="3" t="s">
        <v>718</v>
      </c>
      <c r="AG1" s="3" t="s">
        <v>573</v>
      </c>
      <c r="AH1" s="3" t="s">
        <v>883</v>
      </c>
      <c r="AI1" s="3" t="s">
        <v>952</v>
      </c>
      <c r="AJ1" s="1" t="s">
        <v>847</v>
      </c>
      <c r="AK1" s="2" t="s">
        <v>848</v>
      </c>
      <c r="AL1" s="2" t="s">
        <v>849</v>
      </c>
      <c r="AM1" s="2" t="s">
        <v>850</v>
      </c>
      <c r="AN1" s="2" t="s">
        <v>905</v>
      </c>
      <c r="AO1" s="2" t="s">
        <v>906</v>
      </c>
      <c r="AP1" s="2" t="s">
        <v>907</v>
      </c>
      <c r="AQ1" s="2" t="s">
        <v>978</v>
      </c>
      <c r="AR1" s="59" t="s">
        <v>908</v>
      </c>
      <c r="AS1" s="37" t="s">
        <v>978</v>
      </c>
      <c r="AT1" s="36" t="s">
        <v>793</v>
      </c>
      <c r="AU1" s="36" t="s">
        <v>821</v>
      </c>
      <c r="AV1" s="36" t="s">
        <v>822</v>
      </c>
      <c r="AW1" s="36" t="s">
        <v>979</v>
      </c>
      <c r="BB1" s="36" t="s">
        <v>980</v>
      </c>
      <c r="EY1" s="145"/>
      <c r="EZ1" s="145"/>
      <c r="FA1" s="145"/>
      <c r="FB1" s="145"/>
    </row>
    <row r="2" spans="1:158" ht="15.75" customHeight="1">
      <c r="A2" s="65"/>
      <c r="B2" s="157" t="str">
        <f>I91</f>
        <v>WhizTrill</v>
      </c>
      <c r="C2" s="157"/>
      <c r="D2" s="157"/>
      <c r="E2" s="118"/>
      <c r="F2" s="66" t="str">
        <f>LOOKUP(BV5,H82:H88,I82:I88)</f>
        <v>CNC program for Fanuc</v>
      </c>
      <c r="G2" s="67"/>
      <c r="J2" s="9">
        <v>1</v>
      </c>
      <c r="K2" s="9">
        <v>2</v>
      </c>
      <c r="L2" s="9">
        <v>3</v>
      </c>
      <c r="M2" s="9">
        <v>4</v>
      </c>
      <c r="N2" s="9">
        <v>5</v>
      </c>
      <c r="O2" s="9">
        <v>6</v>
      </c>
      <c r="P2" s="9">
        <v>7</v>
      </c>
      <c r="Q2" s="9">
        <v>8</v>
      </c>
      <c r="R2" s="9">
        <v>9</v>
      </c>
      <c r="S2" s="9">
        <v>10</v>
      </c>
      <c r="T2" s="9">
        <v>11</v>
      </c>
      <c r="U2" s="9">
        <v>12</v>
      </c>
      <c r="V2" s="9">
        <v>13</v>
      </c>
      <c r="W2" s="9">
        <v>14</v>
      </c>
      <c r="X2" s="9">
        <v>15</v>
      </c>
      <c r="Y2" s="9">
        <v>16</v>
      </c>
      <c r="Z2" s="9">
        <v>17</v>
      </c>
      <c r="AA2" s="9">
        <v>18</v>
      </c>
      <c r="AB2" s="9">
        <v>19</v>
      </c>
      <c r="AC2" s="9">
        <v>20</v>
      </c>
      <c r="AD2" s="9">
        <v>21</v>
      </c>
      <c r="AF2" s="4">
        <v>1</v>
      </c>
      <c r="AG2" s="4">
        <v>7</v>
      </c>
      <c r="AH2" s="4">
        <v>1</v>
      </c>
      <c r="AI2" s="4">
        <v>3</v>
      </c>
      <c r="AJ2" t="s">
        <v>1897</v>
      </c>
      <c r="AK2">
        <v>16</v>
      </c>
      <c r="AL2">
        <v>16</v>
      </c>
      <c r="AM2">
        <v>4</v>
      </c>
      <c r="AN2">
        <v>11</v>
      </c>
      <c r="AO2">
        <v>40.41</v>
      </c>
      <c r="AP2">
        <v>100</v>
      </c>
      <c r="AQ2">
        <v>20.5</v>
      </c>
      <c r="AS2" s="38">
        <f aca="true" t="shared" si="0" ref="AS2:AS33">IF(C$14&gt;=AQ2,AF2)</f>
        <v>1</v>
      </c>
      <c r="AT2" s="25" t="b">
        <f aca="true" t="shared" si="1" ref="AT2:AT33">IF(C$15=AN2,AF2)</f>
        <v>0</v>
      </c>
      <c r="AU2" s="25">
        <f aca="true" t="shared" si="2" ref="AU2:AU33">IF(C$16&lt;=AO2,AF2)</f>
        <v>1</v>
      </c>
      <c r="AV2" s="25" t="b">
        <f>IF(AI2=BN$10,AF2)</f>
        <v>0</v>
      </c>
      <c r="AW2" s="25" t="b">
        <f>IF(AS2=FALSE,FALSE,IF(AT2=FALSE,FALSE,IF(AU2=FALSE,FALSE,IF(AV2=FALSE,FALSE,AF2))))</f>
        <v>0</v>
      </c>
      <c r="AX2">
        <f>LOOKUP(9999,AW$2:AW$300)</f>
        <v>162</v>
      </c>
      <c r="AY2" s="24">
        <f>AX2-1</f>
        <v>161</v>
      </c>
      <c r="AZ2" t="str">
        <f aca="true" t="shared" si="3" ref="AZ2:AZ21">LOOKUP(AX2,AF$2:AF$300,AJ$2:AJ$300)</f>
        <v>NB1616C40  3.0ISO  A9</v>
      </c>
      <c r="BA2" t="b">
        <f>ISNA(AZ2)</f>
        <v>0</v>
      </c>
      <c r="BB2" t="str">
        <f>IF(BA2=FALSE,AZ2,"")</f>
        <v>NB1616C40  3.0ISO  A9</v>
      </c>
      <c r="BC2" s="61">
        <v>1</v>
      </c>
      <c r="BD2" s="7" t="s">
        <v>668</v>
      </c>
      <c r="BE2" s="7" t="s">
        <v>669</v>
      </c>
      <c r="BF2" s="9"/>
      <c r="BG2" s="7" t="s">
        <v>668</v>
      </c>
      <c r="BH2" s="7" t="s">
        <v>669</v>
      </c>
      <c r="BJ2" s="13" t="s">
        <v>849</v>
      </c>
      <c r="BK2" s="13" t="s">
        <v>788</v>
      </c>
      <c r="EY2" s="145"/>
      <c r="EZ2" s="145"/>
      <c r="FA2" s="145"/>
      <c r="FB2" s="145"/>
    </row>
    <row r="3" spans="1:158" ht="15.75" customHeight="1">
      <c r="A3" s="65"/>
      <c r="B3" s="157"/>
      <c r="C3" s="157"/>
      <c r="D3" s="157"/>
      <c r="E3" s="118"/>
      <c r="F3" s="68"/>
      <c r="G3" s="67"/>
      <c r="I3" s="5" t="str">
        <f>LOOKUP(H$27,J$2:AD$2,J3:AD3)</f>
        <v>Internal Thread Milling in Machining Center</v>
      </c>
      <c r="J3" s="87" t="s">
        <v>1137</v>
      </c>
      <c r="K3" s="34" t="s">
        <v>915</v>
      </c>
      <c r="L3" s="34" t="s">
        <v>1216</v>
      </c>
      <c r="M3" s="34" t="s">
        <v>775</v>
      </c>
      <c r="N3" s="34" t="s">
        <v>932</v>
      </c>
      <c r="O3" t="s">
        <v>1730</v>
      </c>
      <c r="P3" s="34" t="s">
        <v>411</v>
      </c>
      <c r="Q3" s="34" t="s">
        <v>1184</v>
      </c>
      <c r="R3" t="s">
        <v>1792</v>
      </c>
      <c r="S3" s="34" t="s">
        <v>1268</v>
      </c>
      <c r="T3" s="34" t="s">
        <v>1404</v>
      </c>
      <c r="U3" s="34" t="s">
        <v>364</v>
      </c>
      <c r="V3" s="34" t="s">
        <v>1521</v>
      </c>
      <c r="W3" s="34" t="s">
        <v>615</v>
      </c>
      <c r="X3" s="34" t="s">
        <v>448</v>
      </c>
      <c r="Y3" s="34" t="s">
        <v>884</v>
      </c>
      <c r="Z3" s="98" t="s">
        <v>1503</v>
      </c>
      <c r="AA3" s="112" t="s">
        <v>1621</v>
      </c>
      <c r="AB3" s="103" t="s">
        <v>474</v>
      </c>
      <c r="AC3" s="119" t="s">
        <v>194</v>
      </c>
      <c r="AD3" s="109" t="s">
        <v>280</v>
      </c>
      <c r="AF3" s="4">
        <v>2</v>
      </c>
      <c r="AG3" s="4">
        <v>7</v>
      </c>
      <c r="AH3" s="4">
        <v>1</v>
      </c>
      <c r="AI3" s="4">
        <v>3</v>
      </c>
      <c r="AJ3" t="s">
        <v>1898</v>
      </c>
      <c r="AK3">
        <v>12</v>
      </c>
      <c r="AL3">
        <v>12</v>
      </c>
      <c r="AM3">
        <v>4</v>
      </c>
      <c r="AN3">
        <v>14</v>
      </c>
      <c r="AO3">
        <v>28.12</v>
      </c>
      <c r="AP3">
        <v>100</v>
      </c>
      <c r="AQ3">
        <v>15.5</v>
      </c>
      <c r="AS3" s="38">
        <f t="shared" si="0"/>
        <v>2</v>
      </c>
      <c r="AT3" s="25" t="b">
        <f t="shared" si="1"/>
        <v>0</v>
      </c>
      <c r="AU3" s="25" t="b">
        <f t="shared" si="2"/>
        <v>0</v>
      </c>
      <c r="AV3" s="25" t="b">
        <f aca="true" t="shared" si="4" ref="AV3:AV66">IF(AI3=BN$10,AF3)</f>
        <v>0</v>
      </c>
      <c r="AW3" s="25" t="b">
        <f aca="true" t="shared" si="5" ref="AW3:AW66">IF(AS3=FALSE,FALSE,IF(AT3=FALSE,FALSE,IF(AU3=FALSE,FALSE,IF(AV3=FALSE,FALSE,AF3))))</f>
        <v>0</v>
      </c>
      <c r="AX3">
        <f aca="true" t="shared" si="6" ref="AX3:AX21">LOOKUP(AY2,AW$2:AW$300)</f>
        <v>159</v>
      </c>
      <c r="AY3" s="24">
        <f>AX3-1</f>
        <v>158</v>
      </c>
      <c r="AZ3" t="str">
        <f t="shared" si="3"/>
        <v>NB1616C52  3.0ISO  A9</v>
      </c>
      <c r="BA3" t="b">
        <f aca="true" t="shared" si="7" ref="BA3:BA21">ISNA(AZ3)</f>
        <v>0</v>
      </c>
      <c r="BB3" t="str">
        <f>IF(BA3=FALSE,AZ3,"")</f>
        <v>NB1616C52  3.0ISO  A9</v>
      </c>
      <c r="BC3" s="25">
        <v>1</v>
      </c>
      <c r="BD3" s="6">
        <v>158</v>
      </c>
      <c r="BE3" s="8">
        <v>1.2</v>
      </c>
      <c r="BF3" s="9"/>
      <c r="BG3" s="21">
        <f>LOOKUP(BC2,BC3:BC32,BD3:BD32)</f>
        <v>158</v>
      </c>
      <c r="BH3" s="22">
        <f>LOOKUP(BC2,BC3:BC32,BE3:BE32)</f>
        <v>1.2</v>
      </c>
      <c r="BJ3" s="14">
        <v>1</v>
      </c>
      <c r="BK3" s="11">
        <v>0.01</v>
      </c>
      <c r="BM3" s="7"/>
      <c r="BN3" s="18">
        <f>C15</f>
        <v>3</v>
      </c>
      <c r="DK3" s="49"/>
      <c r="DN3" s="39"/>
      <c r="DO3" s="39"/>
      <c r="DP3" s="39"/>
      <c r="DQ3" s="39"/>
      <c r="DR3" s="18"/>
      <c r="DS3" s="18"/>
      <c r="DT3" s="18"/>
      <c r="DU3" s="18"/>
      <c r="DV3" s="18"/>
      <c r="EY3" s="145"/>
      <c r="EZ3" s="145"/>
      <c r="FA3" s="145"/>
      <c r="FB3" s="145"/>
    </row>
    <row r="4" spans="1:158" ht="15.75" customHeight="1">
      <c r="A4" s="65"/>
      <c r="B4" s="65"/>
      <c r="C4" s="65"/>
      <c r="D4" s="65"/>
      <c r="E4" s="118"/>
      <c r="F4" s="64" t="str">
        <f>IF(BY6=0,"",BY6)</f>
        <v>S3143 M3</v>
      </c>
      <c r="G4" s="64"/>
      <c r="I4" s="5" t="str">
        <f>LOOKUP(H$27,J$2:AD$2,J4:AD4)</f>
        <v>Internal Thread Milling in Lathe with Live Tool</v>
      </c>
      <c r="J4" s="87" t="s">
        <v>1138</v>
      </c>
      <c r="K4" s="34" t="s">
        <v>914</v>
      </c>
      <c r="L4" s="34" t="s">
        <v>1217</v>
      </c>
      <c r="M4" s="34" t="s">
        <v>655</v>
      </c>
      <c r="N4" s="34" t="s">
        <v>930</v>
      </c>
      <c r="O4" t="s">
        <v>1731</v>
      </c>
      <c r="P4" s="34" t="s">
        <v>412</v>
      </c>
      <c r="Q4" s="34" t="s">
        <v>1185</v>
      </c>
      <c r="R4" t="s">
        <v>1793</v>
      </c>
      <c r="S4" s="34" t="s">
        <v>53</v>
      </c>
      <c r="T4" s="34" t="s">
        <v>1405</v>
      </c>
      <c r="U4" s="34" t="s">
        <v>365</v>
      </c>
      <c r="V4" s="34" t="s">
        <v>1522</v>
      </c>
      <c r="W4" s="34" t="s">
        <v>616</v>
      </c>
      <c r="X4" s="34" t="s">
        <v>449</v>
      </c>
      <c r="Y4" s="34" t="s">
        <v>877</v>
      </c>
      <c r="Z4" s="98" t="s">
        <v>1504</v>
      </c>
      <c r="AA4" s="112" t="s">
        <v>1630</v>
      </c>
      <c r="AB4" s="103" t="s">
        <v>408</v>
      </c>
      <c r="AC4" s="119" t="s">
        <v>195</v>
      </c>
      <c r="AD4" s="109" t="s">
        <v>281</v>
      </c>
      <c r="AF4" s="4">
        <v>3</v>
      </c>
      <c r="AG4" s="4">
        <v>7</v>
      </c>
      <c r="AH4" s="4">
        <v>1</v>
      </c>
      <c r="AI4" s="4">
        <v>3</v>
      </c>
      <c r="AJ4" t="s">
        <v>1899</v>
      </c>
      <c r="AK4">
        <v>10</v>
      </c>
      <c r="AL4">
        <v>10</v>
      </c>
      <c r="AM4">
        <v>4</v>
      </c>
      <c r="AN4">
        <v>19</v>
      </c>
      <c r="AO4">
        <v>22.06</v>
      </c>
      <c r="AP4">
        <v>100</v>
      </c>
      <c r="AQ4">
        <v>12.7</v>
      </c>
      <c r="AS4" s="38">
        <f t="shared" si="0"/>
        <v>3</v>
      </c>
      <c r="AT4" s="25" t="b">
        <f t="shared" si="1"/>
        <v>0</v>
      </c>
      <c r="AU4" s="25" t="b">
        <f t="shared" si="2"/>
        <v>0</v>
      </c>
      <c r="AV4" s="25" t="b">
        <f t="shared" si="4"/>
        <v>0</v>
      </c>
      <c r="AW4" s="25" t="b">
        <f t="shared" si="5"/>
        <v>0</v>
      </c>
      <c r="AX4">
        <f t="shared" si="6"/>
        <v>151</v>
      </c>
      <c r="AY4" s="24">
        <f aca="true" t="shared" si="8" ref="AY4:AY21">AX4-1</f>
        <v>150</v>
      </c>
      <c r="AZ4" t="str">
        <f t="shared" si="3"/>
        <v>NB1818C64  3.0ISO  A9</v>
      </c>
      <c r="BA4" t="b">
        <f t="shared" si="7"/>
        <v>0</v>
      </c>
      <c r="BB4" t="str">
        <f aca="true" t="shared" si="9" ref="BB4:BB16">IF(BA4=FALSE,AZ4,"")</f>
        <v>NB1818C64  3.0ISO  A9</v>
      </c>
      <c r="BC4" s="25">
        <v>2</v>
      </c>
      <c r="BD4" s="6">
        <v>133</v>
      </c>
      <c r="BE4" s="8">
        <v>1.1</v>
      </c>
      <c r="BF4" s="9"/>
      <c r="BG4" s="9"/>
      <c r="BH4" s="9"/>
      <c r="BJ4" s="14">
        <v>2.2</v>
      </c>
      <c r="BK4" s="11">
        <f>BK3*1.1</f>
        <v>0.011000000000000001</v>
      </c>
      <c r="BM4" s="7"/>
      <c r="BN4" s="11">
        <f>25.4/C15</f>
        <v>8.466666666666667</v>
      </c>
      <c r="BQ4" s="7" t="s">
        <v>906</v>
      </c>
      <c r="BR4" s="25">
        <f>(IF(D23&gt;0,D23,C23))+0.001</f>
        <v>40.501</v>
      </c>
      <c r="DK4" s="49"/>
      <c r="DL4" s="18"/>
      <c r="DM4" s="18"/>
      <c r="DN4" s="39"/>
      <c r="DO4" s="39"/>
      <c r="DP4" s="39"/>
      <c r="DQ4" s="39"/>
      <c r="DR4" s="18"/>
      <c r="DS4" s="18"/>
      <c r="DT4" s="18"/>
      <c r="DU4" s="18"/>
      <c r="DV4" s="18"/>
      <c r="EY4" s="145"/>
      <c r="EZ4" s="145"/>
      <c r="FA4" s="145"/>
      <c r="FB4" s="145"/>
    </row>
    <row r="5" spans="1:219" ht="15.75" customHeight="1">
      <c r="A5" s="65"/>
      <c r="B5" s="65"/>
      <c r="C5" s="65"/>
      <c r="D5" s="65"/>
      <c r="E5" s="118"/>
      <c r="F5" s="64" t="str">
        <f>IF(BY9=0,"",BY9)</f>
        <v>G00 G91 Z-38.</v>
      </c>
      <c r="G5" s="64"/>
      <c r="J5" s="87"/>
      <c r="K5" s="34" t="s">
        <v>913</v>
      </c>
      <c r="V5" s="34" t="s">
        <v>1523</v>
      </c>
      <c r="Z5" s="98"/>
      <c r="AC5" s="120"/>
      <c r="AF5" s="4">
        <v>4</v>
      </c>
      <c r="AG5" s="4">
        <v>7</v>
      </c>
      <c r="AH5" s="4">
        <v>1</v>
      </c>
      <c r="AI5" s="4">
        <v>3</v>
      </c>
      <c r="AJ5" t="s">
        <v>1900</v>
      </c>
      <c r="AK5">
        <v>6</v>
      </c>
      <c r="AL5">
        <v>6</v>
      </c>
      <c r="AM5">
        <v>3</v>
      </c>
      <c r="AN5">
        <v>28</v>
      </c>
      <c r="AO5">
        <v>10.43</v>
      </c>
      <c r="AP5">
        <v>76</v>
      </c>
      <c r="AQ5">
        <v>7.8</v>
      </c>
      <c r="AS5" s="38">
        <f t="shared" si="0"/>
        <v>4</v>
      </c>
      <c r="AT5" s="25" t="b">
        <f t="shared" si="1"/>
        <v>0</v>
      </c>
      <c r="AU5" s="25" t="b">
        <f t="shared" si="2"/>
        <v>0</v>
      </c>
      <c r="AV5" s="25" t="b">
        <f t="shared" si="4"/>
        <v>0</v>
      </c>
      <c r="AW5" s="25" t="b">
        <f t="shared" si="5"/>
        <v>0</v>
      </c>
      <c r="AX5">
        <f t="shared" si="6"/>
        <v>108</v>
      </c>
      <c r="AY5" s="24">
        <f t="shared" si="8"/>
        <v>107</v>
      </c>
      <c r="AZ5" t="str">
        <f t="shared" si="3"/>
        <v>NBK1616C40  3.0ISO  A9</v>
      </c>
      <c r="BA5" t="b">
        <f t="shared" si="7"/>
        <v>0</v>
      </c>
      <c r="BB5" t="str">
        <f t="shared" si="9"/>
        <v>NBK1616C40  3.0ISO  A9</v>
      </c>
      <c r="BC5" s="25">
        <v>3</v>
      </c>
      <c r="BD5" s="6">
        <v>118</v>
      </c>
      <c r="BE5" s="8">
        <v>1</v>
      </c>
      <c r="BF5" s="9"/>
      <c r="BG5" s="20">
        <f>IF(D25&gt;0,D25,C25)</f>
        <v>158</v>
      </c>
      <c r="BH5" s="9"/>
      <c r="BJ5" s="14">
        <f aca="true" t="shared" si="10" ref="BJ5:BJ32">BJ4*1.11</f>
        <v>2.4420000000000006</v>
      </c>
      <c r="BK5" s="11">
        <f aca="true" t="shared" si="11" ref="BK5:BK32">BK4*1.1</f>
        <v>0.012100000000000001</v>
      </c>
      <c r="BM5" s="7"/>
      <c r="BN5" s="11">
        <f>IF(BN10=1,BN3,BN4)</f>
        <v>3</v>
      </c>
      <c r="BQ5" s="7" t="s">
        <v>714</v>
      </c>
      <c r="BR5" s="25">
        <f>BR4/BN6</f>
        <v>13.500333333333332</v>
      </c>
      <c r="BU5" s="39" t="s">
        <v>592</v>
      </c>
      <c r="BV5" s="61">
        <v>1</v>
      </c>
      <c r="BZ5" s="9">
        <v>0</v>
      </c>
      <c r="CA5" s="9">
        <v>11</v>
      </c>
      <c r="CB5" s="9">
        <v>12</v>
      </c>
      <c r="CC5" s="9">
        <v>21</v>
      </c>
      <c r="CD5" s="9">
        <v>22</v>
      </c>
      <c r="CE5" s="9">
        <v>31</v>
      </c>
      <c r="CF5" s="9">
        <v>32</v>
      </c>
      <c r="CG5" s="9">
        <v>111</v>
      </c>
      <c r="CH5" s="9">
        <v>112</v>
      </c>
      <c r="CI5" s="9">
        <v>121</v>
      </c>
      <c r="CJ5" s="9">
        <v>122</v>
      </c>
      <c r="CK5" s="9">
        <v>131</v>
      </c>
      <c r="CL5" s="9">
        <v>132</v>
      </c>
      <c r="CM5" s="9">
        <v>1011</v>
      </c>
      <c r="CN5" s="9">
        <v>1012</v>
      </c>
      <c r="CO5" s="9">
        <v>1021</v>
      </c>
      <c r="CP5" s="9">
        <v>1022</v>
      </c>
      <c r="CQ5" s="9">
        <v>1031</v>
      </c>
      <c r="CR5" s="13">
        <v>1032</v>
      </c>
      <c r="CS5" s="9">
        <v>10011</v>
      </c>
      <c r="CT5" s="13">
        <v>10012</v>
      </c>
      <c r="CU5" s="9">
        <v>10021</v>
      </c>
      <c r="CV5" s="13">
        <v>10022</v>
      </c>
      <c r="CW5" s="9">
        <v>10031</v>
      </c>
      <c r="CX5" s="13">
        <v>10032</v>
      </c>
      <c r="CY5" s="9">
        <v>1000011</v>
      </c>
      <c r="CZ5" s="9">
        <v>1000021</v>
      </c>
      <c r="DA5" s="9">
        <v>1000031</v>
      </c>
      <c r="DB5" s="9">
        <v>1000111</v>
      </c>
      <c r="DC5" s="9">
        <v>1000121</v>
      </c>
      <c r="DD5" s="9">
        <v>1000131</v>
      </c>
      <c r="DE5" s="9">
        <v>1001011</v>
      </c>
      <c r="DF5" s="9">
        <v>1001021</v>
      </c>
      <c r="DG5" s="9">
        <v>1001031</v>
      </c>
      <c r="DH5" s="9">
        <v>1010011</v>
      </c>
      <c r="DI5" s="9">
        <v>1010021</v>
      </c>
      <c r="DJ5" s="9">
        <v>1010031</v>
      </c>
      <c r="DK5" s="49"/>
      <c r="DL5" s="41" t="s">
        <v>1048</v>
      </c>
      <c r="DM5" s="39"/>
      <c r="DN5" s="39"/>
      <c r="DO5" s="39"/>
      <c r="DP5" s="39"/>
      <c r="DQ5" s="39"/>
      <c r="DR5" s="18"/>
      <c r="DS5" s="18"/>
      <c r="DT5" s="18"/>
      <c r="DU5" s="18"/>
      <c r="DV5" s="18"/>
      <c r="DX5" s="49"/>
      <c r="DY5" s="41" t="s">
        <v>970</v>
      </c>
      <c r="DZ5" s="39"/>
      <c r="EA5" s="39"/>
      <c r="EB5" s="39"/>
      <c r="EC5" s="39"/>
      <c r="ED5" s="39"/>
      <c r="EE5" s="18"/>
      <c r="EF5" s="18"/>
      <c r="EG5" s="18"/>
      <c r="EH5" s="18"/>
      <c r="EI5" s="18"/>
      <c r="EJ5" s="25"/>
      <c r="EK5" s="49"/>
      <c r="EL5" s="41" t="s">
        <v>730</v>
      </c>
      <c r="EM5" s="39"/>
      <c r="EN5" s="39"/>
      <c r="EO5" s="39"/>
      <c r="EP5" s="39"/>
      <c r="EQ5" s="39"/>
      <c r="ER5" s="18"/>
      <c r="ES5" s="18"/>
      <c r="ET5" s="18"/>
      <c r="EU5" s="18"/>
      <c r="EV5" s="18"/>
      <c r="EW5" s="25"/>
      <c r="EY5" s="144" t="s">
        <v>811</v>
      </c>
      <c r="FD5" s="41" t="s">
        <v>738</v>
      </c>
      <c r="FI5" s="41" t="s">
        <v>986</v>
      </c>
      <c r="FN5" s="41" t="s">
        <v>798</v>
      </c>
      <c r="GA5" s="41" t="s">
        <v>705</v>
      </c>
      <c r="GN5" s="41" t="s">
        <v>904</v>
      </c>
      <c r="HA5" s="41">
        <v>1000011</v>
      </c>
      <c r="HC5" s="41">
        <v>1000021</v>
      </c>
      <c r="HE5" s="41">
        <v>1000031</v>
      </c>
      <c r="HG5" s="41">
        <v>1010011</v>
      </c>
      <c r="HI5" s="41">
        <v>1010021</v>
      </c>
      <c r="HK5" s="41">
        <v>1010031</v>
      </c>
    </row>
    <row r="6" spans="1:153" ht="15.75" customHeight="1">
      <c r="A6" s="65"/>
      <c r="B6" s="65"/>
      <c r="C6" s="65"/>
      <c r="D6" s="65"/>
      <c r="E6" s="118"/>
      <c r="F6" s="64" t="str">
        <f>IF(BY12=0,"",BY12)</f>
        <v>G01 G41 X2. Y-2. F156</v>
      </c>
      <c r="G6" s="156" t="s">
        <v>2196</v>
      </c>
      <c r="J6" s="87"/>
      <c r="Z6" s="98"/>
      <c r="AC6" s="120"/>
      <c r="AF6" s="4">
        <v>5</v>
      </c>
      <c r="AG6" s="4">
        <v>1</v>
      </c>
      <c r="AH6" s="4">
        <v>1</v>
      </c>
      <c r="AI6" s="4">
        <v>3</v>
      </c>
      <c r="AJ6" t="s">
        <v>1901</v>
      </c>
      <c r="AK6">
        <v>20</v>
      </c>
      <c r="AL6">
        <v>20</v>
      </c>
      <c r="AM6">
        <v>5</v>
      </c>
      <c r="AN6">
        <v>11</v>
      </c>
      <c r="AO6">
        <v>49.65</v>
      </c>
      <c r="AP6">
        <v>120</v>
      </c>
      <c r="AQ6">
        <v>25</v>
      </c>
      <c r="AS6" s="38" t="b">
        <f t="shared" si="0"/>
        <v>0</v>
      </c>
      <c r="AT6" s="25" t="b">
        <f t="shared" si="1"/>
        <v>0</v>
      </c>
      <c r="AU6" s="25">
        <f t="shared" si="2"/>
        <v>5</v>
      </c>
      <c r="AV6" s="25" t="b">
        <f t="shared" si="4"/>
        <v>0</v>
      </c>
      <c r="AW6" s="25" t="b">
        <f t="shared" si="5"/>
        <v>0</v>
      </c>
      <c r="AX6">
        <f t="shared" si="6"/>
        <v>107</v>
      </c>
      <c r="AY6" s="24">
        <f t="shared" si="8"/>
        <v>106</v>
      </c>
      <c r="AZ6" t="str">
        <f t="shared" si="3"/>
        <v>NBK1616C52  3.0ISO  A9</v>
      </c>
      <c r="BA6" t="b">
        <f t="shared" si="7"/>
        <v>0</v>
      </c>
      <c r="BB6" t="str">
        <f t="shared" si="9"/>
        <v>NBK1616C52  3.0ISO  A9</v>
      </c>
      <c r="BC6" s="25">
        <v>4</v>
      </c>
      <c r="BD6" s="6">
        <v>108</v>
      </c>
      <c r="BE6" s="8">
        <v>1</v>
      </c>
      <c r="BF6" s="9"/>
      <c r="BG6" s="9"/>
      <c r="BH6" s="9"/>
      <c r="BJ6" s="14">
        <f t="shared" si="10"/>
        <v>2.710620000000001</v>
      </c>
      <c r="BK6" s="11">
        <f t="shared" si="11"/>
        <v>0.013310000000000002</v>
      </c>
      <c r="BM6" s="7" t="s">
        <v>905</v>
      </c>
      <c r="BN6" s="12">
        <f>ROUND(BN5,3)</f>
        <v>3</v>
      </c>
      <c r="BQ6" s="7" t="s">
        <v>704</v>
      </c>
      <c r="BR6" s="28">
        <f>INT(BR5)</f>
        <v>13</v>
      </c>
      <c r="BT6" s="25">
        <f>IF(BH29&gt;3,"ERROR",BH29)</f>
        <v>1</v>
      </c>
      <c r="BU6" s="39" t="s">
        <v>953</v>
      </c>
      <c r="BV6" s="33">
        <f>BT6*10</f>
        <v>10</v>
      </c>
      <c r="BW6" s="33"/>
      <c r="BX6" s="39">
        <v>1</v>
      </c>
      <c r="BY6" s="45" t="str">
        <f>LOOKUP(BV$54,BZ$5:DJ$5,BZ6:DJ6)</f>
        <v>S3143 M3</v>
      </c>
      <c r="BZ6" s="45" t="s">
        <v>1667</v>
      </c>
      <c r="CA6" s="44" t="str">
        <f>CONCATENATE(DL6,DM6,DN6)</f>
        <v>S3143 M3</v>
      </c>
      <c r="CB6" s="44" t="str">
        <f>CONCATENATE(BX6,DL73,DM73)</f>
        <v>1 TOOL CALL 1 Z S3143</v>
      </c>
      <c r="CC6" s="44" t="str">
        <f>CA6</f>
        <v>S3143 M3</v>
      </c>
      <c r="CD6" s="44" t="str">
        <f>CB6</f>
        <v>1 TOOL CALL 1 Z S3143</v>
      </c>
      <c r="CE6" s="44" t="str">
        <f>CA6</f>
        <v>S3143 M3</v>
      </c>
      <c r="CF6" s="44" t="str">
        <f>CD6</f>
        <v>1 TOOL CALL 1 Z S3143</v>
      </c>
      <c r="CG6" s="44" t="str">
        <f aca="true" t="shared" si="12" ref="CG6:CL6">CA6</f>
        <v>S3143 M3</v>
      </c>
      <c r="CH6" s="44" t="str">
        <f t="shared" si="12"/>
        <v>1 TOOL CALL 1 Z S3143</v>
      </c>
      <c r="CI6" s="44" t="str">
        <f t="shared" si="12"/>
        <v>S3143 M3</v>
      </c>
      <c r="CJ6" s="44" t="str">
        <f t="shared" si="12"/>
        <v>1 TOOL CALL 1 Z S3143</v>
      </c>
      <c r="CK6" s="44" t="str">
        <f t="shared" si="12"/>
        <v>S3143 M3</v>
      </c>
      <c r="CL6" s="44" t="str">
        <f t="shared" si="12"/>
        <v>1 TOOL CALL 1 Z S3143</v>
      </c>
      <c r="CM6" s="44" t="str">
        <f aca="true" t="shared" si="13" ref="CM6:CR6">CA6</f>
        <v>S3143 M3</v>
      </c>
      <c r="CN6" s="44" t="str">
        <f t="shared" si="13"/>
        <v>1 TOOL CALL 1 Z S3143</v>
      </c>
      <c r="CO6" s="44" t="str">
        <f t="shared" si="13"/>
        <v>S3143 M3</v>
      </c>
      <c r="CP6" s="44" t="str">
        <f t="shared" si="13"/>
        <v>1 TOOL CALL 1 Z S3143</v>
      </c>
      <c r="CQ6" s="44" t="str">
        <f t="shared" si="13"/>
        <v>S3143 M3</v>
      </c>
      <c r="CR6" s="152" t="str">
        <f t="shared" si="13"/>
        <v>1 TOOL CALL 1 Z S3143</v>
      </c>
      <c r="CS6" s="44" t="str">
        <f aca="true" t="shared" si="14" ref="CS6:CX6">CA6</f>
        <v>S3143 M3</v>
      </c>
      <c r="CT6" s="152" t="str">
        <f t="shared" si="14"/>
        <v>1 TOOL CALL 1 Z S3143</v>
      </c>
      <c r="CU6" s="44" t="str">
        <f t="shared" si="14"/>
        <v>S3143 M3</v>
      </c>
      <c r="CV6" s="152" t="str">
        <f t="shared" si="14"/>
        <v>1 TOOL CALL 1 Z S3143</v>
      </c>
      <c r="CW6" s="44" t="str">
        <f t="shared" si="14"/>
        <v>S3143 M3</v>
      </c>
      <c r="CX6" s="152" t="str">
        <f t="shared" si="14"/>
        <v>1 TOOL CALL 1 Z S3143</v>
      </c>
      <c r="CY6" s="44" t="str">
        <f>CONCATENATE(DL6,DM6," M13")</f>
        <v>S3143 M13</v>
      </c>
      <c r="CZ6" s="44" t="str">
        <f>CY6</f>
        <v>S3143 M13</v>
      </c>
      <c r="DA6" s="44" t="str">
        <f>CY6</f>
        <v>S3143 M13</v>
      </c>
      <c r="DB6" s="44" t="str">
        <f>CY6</f>
        <v>S3143 M13</v>
      </c>
      <c r="DC6" s="44" t="str">
        <f>CZ6</f>
        <v>S3143 M13</v>
      </c>
      <c r="DD6" s="44" t="str">
        <f>DA6</f>
        <v>S3143 M13</v>
      </c>
      <c r="DE6" s="44" t="str">
        <f>CY6</f>
        <v>S3143 M13</v>
      </c>
      <c r="DF6" s="44" t="str">
        <f>CZ6</f>
        <v>S3143 M13</v>
      </c>
      <c r="DG6" s="44" t="str">
        <f>DA6</f>
        <v>S3143 M13</v>
      </c>
      <c r="DH6" s="44" t="str">
        <f>CY6</f>
        <v>S3143 M13</v>
      </c>
      <c r="DI6" s="44" t="str">
        <f>CZ6</f>
        <v>S3143 M13</v>
      </c>
      <c r="DJ6" s="44" t="str">
        <f>DA6</f>
        <v>S3143 M13</v>
      </c>
      <c r="DK6" s="49">
        <v>1</v>
      </c>
      <c r="DL6" s="18" t="s">
        <v>578</v>
      </c>
      <c r="DM6" s="6">
        <f>C29</f>
        <v>3143</v>
      </c>
      <c r="DN6" s="18" t="s">
        <v>588</v>
      </c>
      <c r="DO6" s="18"/>
      <c r="DP6" s="18"/>
      <c r="DQ6" s="18"/>
      <c r="DR6" s="18"/>
      <c r="DS6" s="18"/>
      <c r="DT6" s="18"/>
      <c r="DU6" s="18"/>
      <c r="DV6" s="18"/>
      <c r="DX6" s="49"/>
      <c r="DY6" s="18"/>
      <c r="DZ6" s="18"/>
      <c r="EA6" s="18"/>
      <c r="EB6" s="18"/>
      <c r="EC6" s="18"/>
      <c r="ED6" s="18"/>
      <c r="EE6" s="18"/>
      <c r="EF6" s="18"/>
      <c r="EG6" s="18"/>
      <c r="EH6" s="18"/>
      <c r="EI6" s="18"/>
      <c r="EJ6" s="18"/>
      <c r="EK6" s="49"/>
      <c r="EL6" s="18"/>
      <c r="EM6" s="18"/>
      <c r="EN6" s="18"/>
      <c r="EO6" s="18"/>
      <c r="EP6" s="18"/>
      <c r="EQ6" s="18"/>
      <c r="ER6" s="18"/>
      <c r="ES6" s="18"/>
      <c r="ET6" s="18"/>
      <c r="EU6" s="18"/>
      <c r="EV6" s="18"/>
      <c r="EW6" s="18"/>
    </row>
    <row r="7" spans="1:153" ht="15.75" customHeight="1">
      <c r="A7" s="65"/>
      <c r="B7" s="65"/>
      <c r="C7" s="65"/>
      <c r="D7" s="65"/>
      <c r="E7" s="118"/>
      <c r="F7" s="64" t="str">
        <f>IF(BY15=0,"",BY15)</f>
        <v>G03 X2. Y2. Z0.375 I0. J2.</v>
      </c>
      <c r="G7" s="156" t="s">
        <v>2197</v>
      </c>
      <c r="I7" s="5" t="str">
        <f aca="true" t="shared" si="15" ref="I7:I13">LOOKUP(H$27,J$2:AD$2,J7:AD7)</f>
        <v>Fanuc</v>
      </c>
      <c r="J7" s="87" t="s">
        <v>890</v>
      </c>
      <c r="K7" s="87" t="s">
        <v>890</v>
      </c>
      <c r="L7" s="34" t="s">
        <v>890</v>
      </c>
      <c r="M7" s="87" t="s">
        <v>890</v>
      </c>
      <c r="N7" s="87" t="s">
        <v>890</v>
      </c>
      <c r="O7" s="34" t="s">
        <v>890</v>
      </c>
      <c r="P7" s="34" t="s">
        <v>890</v>
      </c>
      <c r="Q7" s="34" t="s">
        <v>890</v>
      </c>
      <c r="R7" s="34" t="s">
        <v>890</v>
      </c>
      <c r="S7" s="34" t="s">
        <v>890</v>
      </c>
      <c r="T7" s="34" t="s">
        <v>890</v>
      </c>
      <c r="U7" s="34" t="s">
        <v>890</v>
      </c>
      <c r="V7" s="34" t="s">
        <v>890</v>
      </c>
      <c r="W7" s="34" t="s">
        <v>890</v>
      </c>
      <c r="X7" s="87" t="s">
        <v>890</v>
      </c>
      <c r="Y7" s="87" t="s">
        <v>890</v>
      </c>
      <c r="Z7" s="34" t="s">
        <v>890</v>
      </c>
      <c r="AA7" s="112" t="s">
        <v>1631</v>
      </c>
      <c r="AB7" s="87" t="s">
        <v>890</v>
      </c>
      <c r="AC7" s="119" t="s">
        <v>196</v>
      </c>
      <c r="AD7" s="109" t="s">
        <v>282</v>
      </c>
      <c r="AF7" s="4">
        <v>6</v>
      </c>
      <c r="AG7" s="4">
        <v>2</v>
      </c>
      <c r="AH7" s="4">
        <v>4</v>
      </c>
      <c r="AI7" s="4">
        <v>6</v>
      </c>
      <c r="AJ7" t="s">
        <v>1902</v>
      </c>
      <c r="AK7">
        <v>20</v>
      </c>
      <c r="AL7">
        <v>20</v>
      </c>
      <c r="AM7">
        <v>4</v>
      </c>
      <c r="AN7">
        <v>8</v>
      </c>
      <c r="AO7">
        <v>42.86</v>
      </c>
      <c r="AP7">
        <v>100</v>
      </c>
      <c r="AQ7">
        <v>26</v>
      </c>
      <c r="AS7" s="38" t="b">
        <f t="shared" si="0"/>
        <v>0</v>
      </c>
      <c r="AT7" s="25" t="b">
        <f t="shared" si="1"/>
        <v>0</v>
      </c>
      <c r="AU7" s="25">
        <f t="shared" si="2"/>
        <v>6</v>
      </c>
      <c r="AV7" s="25" t="b">
        <f t="shared" si="4"/>
        <v>0</v>
      </c>
      <c r="AW7" s="25" t="b">
        <f t="shared" si="5"/>
        <v>0</v>
      </c>
      <c r="AX7" t="e">
        <f t="shared" si="6"/>
        <v>#N/A</v>
      </c>
      <c r="AY7" s="24" t="e">
        <f t="shared" si="8"/>
        <v>#N/A</v>
      </c>
      <c r="AZ7" t="e">
        <f t="shared" si="3"/>
        <v>#N/A</v>
      </c>
      <c r="BA7" t="b">
        <f t="shared" si="7"/>
        <v>1</v>
      </c>
      <c r="BB7">
        <f t="shared" si="9"/>
      </c>
      <c r="BC7" s="25">
        <v>5</v>
      </c>
      <c r="BD7" s="6">
        <v>83</v>
      </c>
      <c r="BE7" s="8">
        <v>0.9</v>
      </c>
      <c r="BF7" s="9"/>
      <c r="BG7" s="9"/>
      <c r="BH7" s="9"/>
      <c r="BJ7" s="14">
        <f t="shared" si="10"/>
        <v>3.0087882000000015</v>
      </c>
      <c r="BK7" s="11">
        <f t="shared" si="11"/>
        <v>0.014641000000000003</v>
      </c>
      <c r="BM7" s="7"/>
      <c r="BN7" s="10"/>
      <c r="BQ7" s="7" t="s">
        <v>997</v>
      </c>
      <c r="BR7" s="35">
        <f>BR6*BN6</f>
        <v>39</v>
      </c>
      <c r="BT7" s="33">
        <f>IF(BR9&gt;1,100,"")</f>
      </c>
      <c r="BU7" s="7" t="s">
        <v>982</v>
      </c>
      <c r="BV7" s="33">
        <f>IF(BR42=2,"",BT7)</f>
      </c>
      <c r="BW7" s="33"/>
      <c r="BX7" s="39"/>
      <c r="BY7" s="45"/>
      <c r="BZ7" s="45"/>
      <c r="CK7" s="44"/>
      <c r="CL7" s="44"/>
      <c r="CM7" s="44"/>
      <c r="DK7" s="49"/>
      <c r="DL7" s="18"/>
      <c r="DM7" s="18"/>
      <c r="DN7" s="18"/>
      <c r="DO7" s="18">
        <f>-(C16+C17)</f>
        <v>-38</v>
      </c>
      <c r="DP7" s="18"/>
      <c r="DQ7" s="18"/>
      <c r="DR7" s="18"/>
      <c r="DS7" s="18"/>
      <c r="DT7" s="18"/>
      <c r="DU7" s="18"/>
      <c r="DV7" s="18"/>
      <c r="DX7" s="49"/>
      <c r="DY7" s="18"/>
      <c r="DZ7" s="18"/>
      <c r="EA7" s="18"/>
      <c r="EB7" s="18"/>
      <c r="EC7" s="18"/>
      <c r="ED7" s="18"/>
      <c r="EE7" s="18"/>
      <c r="EF7" s="18"/>
      <c r="EG7" s="18"/>
      <c r="EH7" s="18"/>
      <c r="EI7" s="18"/>
      <c r="EJ7" s="18"/>
      <c r="EK7" s="49"/>
      <c r="EL7" s="18"/>
      <c r="EM7" s="18"/>
      <c r="EN7" s="18"/>
      <c r="EO7" s="18"/>
      <c r="EP7" s="18"/>
      <c r="EQ7" s="18"/>
      <c r="ER7" s="18"/>
      <c r="ES7" s="18"/>
      <c r="ET7" s="18"/>
      <c r="EU7" s="18"/>
      <c r="EV7" s="18"/>
      <c r="EW7" s="18"/>
    </row>
    <row r="8" spans="1:153" ht="15.75" customHeight="1">
      <c r="A8" s="65"/>
      <c r="B8" s="65"/>
      <c r="C8" s="65"/>
      <c r="D8" s="65"/>
      <c r="E8" s="118"/>
      <c r="F8" s="64" t="str">
        <f>IF(BY18=0,"",BY18)</f>
        <v>G03 X0. Y0. Z3. I-4. J0.</v>
      </c>
      <c r="G8" s="64" t="s">
        <v>2198</v>
      </c>
      <c r="I8" s="5" t="str">
        <f t="shared" si="15"/>
        <v>Heidenhain</v>
      </c>
      <c r="J8" s="87" t="s">
        <v>1702</v>
      </c>
      <c r="K8" s="87" t="s">
        <v>1702</v>
      </c>
      <c r="L8" s="87" t="s">
        <v>1702</v>
      </c>
      <c r="M8" s="87" t="s">
        <v>1702</v>
      </c>
      <c r="N8" s="87" t="s">
        <v>1702</v>
      </c>
      <c r="O8" s="34" t="s">
        <v>1732</v>
      </c>
      <c r="P8" s="87" t="s">
        <v>1702</v>
      </c>
      <c r="Q8" s="87" t="s">
        <v>1702</v>
      </c>
      <c r="R8" s="34" t="s">
        <v>1732</v>
      </c>
      <c r="S8" s="87" t="s">
        <v>1702</v>
      </c>
      <c r="T8" s="87" t="s">
        <v>1702</v>
      </c>
      <c r="U8" s="87" t="s">
        <v>1702</v>
      </c>
      <c r="V8" s="87" t="s">
        <v>1702</v>
      </c>
      <c r="W8" s="87" t="s">
        <v>1702</v>
      </c>
      <c r="X8" s="87" t="s">
        <v>1702</v>
      </c>
      <c r="Y8" s="87" t="s">
        <v>1702</v>
      </c>
      <c r="Z8" s="87" t="s">
        <v>1702</v>
      </c>
      <c r="AA8" s="112" t="s">
        <v>1632</v>
      </c>
      <c r="AB8" s="87" t="s">
        <v>1702</v>
      </c>
      <c r="AC8" s="119" t="s">
        <v>197</v>
      </c>
      <c r="AD8" s="109" t="s">
        <v>283</v>
      </c>
      <c r="AF8" s="4">
        <v>7</v>
      </c>
      <c r="AG8" s="4">
        <v>2</v>
      </c>
      <c r="AH8" s="4">
        <v>4</v>
      </c>
      <c r="AI8" s="4">
        <v>5</v>
      </c>
      <c r="AJ8" t="s">
        <v>1903</v>
      </c>
      <c r="AK8">
        <v>20</v>
      </c>
      <c r="AL8">
        <v>20</v>
      </c>
      <c r="AM8">
        <v>4</v>
      </c>
      <c r="AN8">
        <v>8</v>
      </c>
      <c r="AO8">
        <v>42.86</v>
      </c>
      <c r="AP8">
        <v>100</v>
      </c>
      <c r="AQ8">
        <v>26</v>
      </c>
      <c r="AS8" s="38" t="b">
        <f t="shared" si="0"/>
        <v>0</v>
      </c>
      <c r="AT8" s="25" t="b">
        <f t="shared" si="1"/>
        <v>0</v>
      </c>
      <c r="AU8" s="25">
        <f t="shared" si="2"/>
        <v>7</v>
      </c>
      <c r="AV8" s="25" t="b">
        <f>IF(AI8=BN$10,AF8)</f>
        <v>0</v>
      </c>
      <c r="AW8" s="25" t="b">
        <f t="shared" si="5"/>
        <v>0</v>
      </c>
      <c r="AX8" t="e">
        <f t="shared" si="6"/>
        <v>#N/A</v>
      </c>
      <c r="AY8" s="24" t="e">
        <f t="shared" si="8"/>
        <v>#N/A</v>
      </c>
      <c r="AZ8" t="e">
        <f t="shared" si="3"/>
        <v>#N/A</v>
      </c>
      <c r="BA8" t="b">
        <f t="shared" si="7"/>
        <v>1</v>
      </c>
      <c r="BB8">
        <f t="shared" si="9"/>
      </c>
      <c r="BC8" s="25">
        <v>6</v>
      </c>
      <c r="BD8" s="6">
        <v>73</v>
      </c>
      <c r="BE8" s="8">
        <v>0.8</v>
      </c>
      <c r="BF8" s="9"/>
      <c r="BG8" s="9"/>
      <c r="BH8" s="9"/>
      <c r="BJ8" s="14">
        <f t="shared" si="10"/>
        <v>3.339754902000002</v>
      </c>
      <c r="BK8" s="11">
        <f t="shared" si="11"/>
        <v>0.016105100000000004</v>
      </c>
      <c r="BN8" s="19"/>
      <c r="BU8" s="39" t="s">
        <v>954</v>
      </c>
      <c r="BV8" s="33">
        <f>IF(BR42=2,1000,"")</f>
      </c>
      <c r="BW8" s="33"/>
      <c r="BX8" s="39"/>
      <c r="BY8" s="45"/>
      <c r="BZ8" s="45"/>
      <c r="CK8" s="44"/>
      <c r="CL8" s="44"/>
      <c r="CM8" s="44"/>
      <c r="DO8" s="25">
        <f>INT(DO7)</f>
        <v>-38</v>
      </c>
      <c r="DX8" s="49"/>
      <c r="DY8" s="18"/>
      <c r="DZ8" s="18"/>
      <c r="EA8" s="18"/>
      <c r="EB8" s="18"/>
      <c r="EC8" s="18"/>
      <c r="ED8" s="18"/>
      <c r="EE8" s="18"/>
      <c r="EF8" s="18"/>
      <c r="EG8" s="18"/>
      <c r="EH8" s="18"/>
      <c r="EI8" s="18"/>
      <c r="EJ8" s="18"/>
      <c r="EK8" s="49"/>
      <c r="EL8" s="18"/>
      <c r="EM8" s="18"/>
      <c r="EN8" s="18"/>
      <c r="EO8" s="18"/>
      <c r="EP8" s="18"/>
      <c r="EQ8" s="18"/>
      <c r="ER8" s="18"/>
      <c r="ES8" s="18"/>
      <c r="ET8" s="18"/>
      <c r="EU8" s="18"/>
      <c r="EV8" s="18"/>
      <c r="EW8" s="18"/>
    </row>
    <row r="9" spans="1:153" ht="15.75" customHeight="1">
      <c r="A9" s="65"/>
      <c r="B9" s="65"/>
      <c r="C9" s="65"/>
      <c r="D9" s="65"/>
      <c r="E9" s="118"/>
      <c r="F9" s="64" t="str">
        <f>IF(BY21=0,"",BY21)</f>
        <v>G03 X-2. Y2. Z0.375 I-2. J0.</v>
      </c>
      <c r="G9" s="64" t="s">
        <v>2199</v>
      </c>
      <c r="I9" s="5" t="str">
        <f t="shared" si="15"/>
        <v>Siemens</v>
      </c>
      <c r="J9" s="87" t="s">
        <v>741</v>
      </c>
      <c r="K9" s="87" t="s">
        <v>741</v>
      </c>
      <c r="L9" s="34" t="s">
        <v>741</v>
      </c>
      <c r="M9" s="87" t="s">
        <v>741</v>
      </c>
      <c r="N9" s="87" t="s">
        <v>741</v>
      </c>
      <c r="O9" s="34" t="s">
        <v>741</v>
      </c>
      <c r="P9" s="34" t="s">
        <v>741</v>
      </c>
      <c r="Q9" s="34" t="s">
        <v>741</v>
      </c>
      <c r="R9" s="34" t="s">
        <v>741</v>
      </c>
      <c r="S9" s="34" t="s">
        <v>741</v>
      </c>
      <c r="T9" s="34" t="s">
        <v>741</v>
      </c>
      <c r="U9" s="34" t="s">
        <v>741</v>
      </c>
      <c r="V9" s="34" t="s">
        <v>741</v>
      </c>
      <c r="W9" s="34" t="s">
        <v>741</v>
      </c>
      <c r="X9" s="87" t="s">
        <v>741</v>
      </c>
      <c r="Y9" s="87" t="s">
        <v>741</v>
      </c>
      <c r="Z9" s="34" t="s">
        <v>741</v>
      </c>
      <c r="AA9" s="112" t="s">
        <v>1633</v>
      </c>
      <c r="AB9" s="87" t="s">
        <v>741</v>
      </c>
      <c r="AC9" s="119" t="s">
        <v>198</v>
      </c>
      <c r="AD9" s="109" t="s">
        <v>284</v>
      </c>
      <c r="AF9" s="4">
        <v>8</v>
      </c>
      <c r="AG9" s="4">
        <v>1</v>
      </c>
      <c r="AH9" s="4">
        <v>1</v>
      </c>
      <c r="AI9" s="4">
        <v>3</v>
      </c>
      <c r="AJ9" t="s">
        <v>1904</v>
      </c>
      <c r="AK9">
        <v>16</v>
      </c>
      <c r="AL9">
        <v>16</v>
      </c>
      <c r="AM9">
        <v>5</v>
      </c>
      <c r="AN9">
        <v>14</v>
      </c>
      <c r="AO9">
        <v>28.12</v>
      </c>
      <c r="AP9">
        <v>100</v>
      </c>
      <c r="AQ9">
        <v>19.7</v>
      </c>
      <c r="AS9" s="38">
        <f t="shared" si="0"/>
        <v>8</v>
      </c>
      <c r="AT9" s="25" t="b">
        <f t="shared" si="1"/>
        <v>0</v>
      </c>
      <c r="AU9" s="25" t="b">
        <f t="shared" si="2"/>
        <v>0</v>
      </c>
      <c r="AV9" s="25" t="b">
        <f>IF(AI9=BN$10,AF9)</f>
        <v>0</v>
      </c>
      <c r="AW9" s="25" t="b">
        <f t="shared" si="5"/>
        <v>0</v>
      </c>
      <c r="AX9" t="e">
        <f t="shared" si="6"/>
        <v>#N/A</v>
      </c>
      <c r="AY9" s="24" t="e">
        <f t="shared" si="8"/>
        <v>#N/A</v>
      </c>
      <c r="AZ9" t="e">
        <f t="shared" si="3"/>
        <v>#N/A</v>
      </c>
      <c r="BA9" t="b">
        <f t="shared" si="7"/>
        <v>1</v>
      </c>
      <c r="BB9">
        <f t="shared" si="9"/>
      </c>
      <c r="BC9" s="25">
        <v>7</v>
      </c>
      <c r="BD9" s="6">
        <v>40</v>
      </c>
      <c r="BE9" s="8">
        <v>0.7</v>
      </c>
      <c r="BF9" s="9"/>
      <c r="BG9" s="9"/>
      <c r="BH9" s="9"/>
      <c r="BJ9" s="14">
        <f t="shared" si="10"/>
        <v>3.7071279412200027</v>
      </c>
      <c r="BK9" s="11">
        <f t="shared" si="11"/>
        <v>0.017715610000000007</v>
      </c>
      <c r="BQ9" s="7" t="s">
        <v>982</v>
      </c>
      <c r="BR9" s="27">
        <f>LOOKUP(C16,BR10:BR19,BQ10:BQ19)</f>
        <v>1</v>
      </c>
      <c r="BU9" s="39" t="s">
        <v>898</v>
      </c>
      <c r="BV9" s="33">
        <f>IF(BR42=4,10000,"")</f>
      </c>
      <c r="BW9" s="33"/>
      <c r="BX9" s="39">
        <v>2</v>
      </c>
      <c r="BY9" s="45" t="str">
        <f>LOOKUP(BV$54,BZ$5:DJ$5,BZ9:DJ9)</f>
        <v>G00 G91 Z-38.</v>
      </c>
      <c r="BZ9" s="45" t="s">
        <v>1668</v>
      </c>
      <c r="CA9" s="44" t="str">
        <f>CONCATENATE(DL9,DM9,DN9,DO9,DP9)</f>
        <v>G00 G91 Z-38.</v>
      </c>
      <c r="CB9" s="44" t="str">
        <f>CONCATENATE(BX9,DL76)</f>
        <v>2 L M3</v>
      </c>
      <c r="CC9" s="44" t="str">
        <f>CA9</f>
        <v>G00 G91 Z-38.</v>
      </c>
      <c r="CD9" s="44" t="str">
        <f>CB9</f>
        <v>2 L M3</v>
      </c>
      <c r="CE9" s="44" t="str">
        <f>CA9</f>
        <v>G00 G91 Z-38.</v>
      </c>
      <c r="CF9" s="44" t="str">
        <f>CD9</f>
        <v>2 L M3</v>
      </c>
      <c r="CG9" s="44" t="str">
        <f aca="true" t="shared" si="16" ref="CG9:CL9">CA9</f>
        <v>G00 G91 Z-38.</v>
      </c>
      <c r="CH9" s="44" t="str">
        <f t="shared" si="16"/>
        <v>2 L M3</v>
      </c>
      <c r="CI9" s="44" t="str">
        <f t="shared" si="16"/>
        <v>G00 G91 Z-38.</v>
      </c>
      <c r="CJ9" s="44" t="str">
        <f t="shared" si="16"/>
        <v>2 L M3</v>
      </c>
      <c r="CK9" s="44" t="str">
        <f t="shared" si="16"/>
        <v>G00 G91 Z-38.</v>
      </c>
      <c r="CL9" s="44" t="str">
        <f t="shared" si="16"/>
        <v>2 L M3</v>
      </c>
      <c r="CM9" s="44" t="str">
        <f aca="true" t="shared" si="17" ref="CM9:CR9">CA9</f>
        <v>G00 G91 Z-38.</v>
      </c>
      <c r="CN9" s="44" t="str">
        <f t="shared" si="17"/>
        <v>2 L M3</v>
      </c>
      <c r="CO9" s="44" t="str">
        <f t="shared" si="17"/>
        <v>G00 G91 Z-38.</v>
      </c>
      <c r="CP9" s="44" t="str">
        <f t="shared" si="17"/>
        <v>2 L M3</v>
      </c>
      <c r="CQ9" s="44" t="str">
        <f t="shared" si="17"/>
        <v>G00 G91 Z-38.</v>
      </c>
      <c r="CR9" s="152" t="str">
        <f t="shared" si="17"/>
        <v>2 L M3</v>
      </c>
      <c r="CS9" s="44" t="str">
        <f aca="true" t="shared" si="18" ref="CS9:CX9">CA9</f>
        <v>G00 G91 Z-38.</v>
      </c>
      <c r="CT9" s="152" t="str">
        <f t="shared" si="18"/>
        <v>2 L M3</v>
      </c>
      <c r="CU9" s="44" t="str">
        <f t="shared" si="18"/>
        <v>G00 G91 Z-38.</v>
      </c>
      <c r="CV9" s="152" t="str">
        <f t="shared" si="18"/>
        <v>2 L M3</v>
      </c>
      <c r="CW9" s="44" t="str">
        <f t="shared" si="18"/>
        <v>G00 G91 Z-38.</v>
      </c>
      <c r="CX9" s="152" t="str">
        <f t="shared" si="18"/>
        <v>2 L M3</v>
      </c>
      <c r="CY9" s="44" t="str">
        <f>CONCATENATE(DL9,DM9," G94",DN9,DO9,DP9)</f>
        <v>G00 G91 G94 Z-38.</v>
      </c>
      <c r="CZ9" s="44" t="str">
        <f>CY9</f>
        <v>G00 G91 G94 Z-38.</v>
      </c>
      <c r="DA9" s="44" t="str">
        <f>CY9</f>
        <v>G00 G91 G94 Z-38.</v>
      </c>
      <c r="DB9" s="44" t="str">
        <f>CY9</f>
        <v>G00 G91 G94 Z-38.</v>
      </c>
      <c r="DC9" s="44" t="str">
        <f>CZ9</f>
        <v>G00 G91 G94 Z-38.</v>
      </c>
      <c r="DD9" s="44" t="str">
        <f>DA9</f>
        <v>G00 G91 G94 Z-38.</v>
      </c>
      <c r="DE9" s="44" t="str">
        <f>CY9</f>
        <v>G00 G91 G94 Z-38.</v>
      </c>
      <c r="DF9" s="44" t="str">
        <f>CZ9</f>
        <v>G00 G91 G94 Z-38.</v>
      </c>
      <c r="DG9" s="44" t="str">
        <f>DA9</f>
        <v>G00 G91 G94 Z-38.</v>
      </c>
      <c r="DH9" s="44" t="str">
        <f>CY9</f>
        <v>G00 G91 G94 Z-38.</v>
      </c>
      <c r="DI9" s="44" t="str">
        <f>CZ9</f>
        <v>G00 G91 G94 Z-38.</v>
      </c>
      <c r="DJ9" s="44" t="str">
        <f>DA9</f>
        <v>G00 G91 G94 Z-38.</v>
      </c>
      <c r="DK9" s="49">
        <v>2</v>
      </c>
      <c r="DL9" s="18" t="s">
        <v>579</v>
      </c>
      <c r="DM9" s="18" t="s">
        <v>580</v>
      </c>
      <c r="DN9" s="18" t="s">
        <v>581</v>
      </c>
      <c r="DO9" s="18" t="str">
        <f>SUBSTITUTE(DO7,",",".")</f>
        <v>-38</v>
      </c>
      <c r="DP9" s="18" t="str">
        <f>IF(DO7=DO8,".","")</f>
        <v>.</v>
      </c>
      <c r="DQ9" s="18"/>
      <c r="DR9" s="18"/>
      <c r="DS9" s="18"/>
      <c r="DT9" s="18"/>
      <c r="DU9" s="18"/>
      <c r="DV9" s="18"/>
      <c r="DX9" s="49"/>
      <c r="DY9" s="18"/>
      <c r="DZ9" s="18"/>
      <c r="EA9" s="18"/>
      <c r="EB9" s="18"/>
      <c r="EC9" s="18"/>
      <c r="ED9" s="18"/>
      <c r="EE9" s="18"/>
      <c r="EF9" s="18"/>
      <c r="EG9" s="18"/>
      <c r="EH9" s="18"/>
      <c r="EI9" s="18"/>
      <c r="EJ9" s="18"/>
      <c r="EK9" s="49"/>
      <c r="EL9" s="18"/>
      <c r="EM9" s="18"/>
      <c r="EN9" s="18"/>
      <c r="EO9" s="18"/>
      <c r="EP9" s="18"/>
      <c r="EQ9" s="18"/>
      <c r="ER9" s="18"/>
      <c r="ES9" s="18"/>
      <c r="ET9" s="18"/>
      <c r="EU9" s="18"/>
      <c r="EV9" s="18"/>
      <c r="EW9" s="18"/>
    </row>
    <row r="10" spans="1:154" ht="15.75" customHeight="1">
      <c r="A10" s="65"/>
      <c r="B10" s="65"/>
      <c r="C10" s="65"/>
      <c r="D10" s="65"/>
      <c r="E10" s="118"/>
      <c r="F10" s="64" t="str">
        <f>IF(BY24=0,"",BY24)</f>
        <v>G01 G40 X-2. Y-2.</v>
      </c>
      <c r="G10" s="116"/>
      <c r="I10" s="5" t="str">
        <f t="shared" si="15"/>
        <v>Num</v>
      </c>
      <c r="J10" s="87" t="s">
        <v>742</v>
      </c>
      <c r="K10" s="87" t="s">
        <v>742</v>
      </c>
      <c r="L10" s="34" t="s">
        <v>742</v>
      </c>
      <c r="M10" s="87" t="s">
        <v>742</v>
      </c>
      <c r="N10" s="87" t="s">
        <v>742</v>
      </c>
      <c r="O10" s="34" t="s">
        <v>742</v>
      </c>
      <c r="P10" s="34" t="s">
        <v>742</v>
      </c>
      <c r="Q10" s="34" t="s">
        <v>742</v>
      </c>
      <c r="R10" s="34" t="s">
        <v>742</v>
      </c>
      <c r="S10" s="34" t="s">
        <v>742</v>
      </c>
      <c r="T10" s="34" t="s">
        <v>742</v>
      </c>
      <c r="U10" s="34" t="s">
        <v>742</v>
      </c>
      <c r="V10" s="34" t="s">
        <v>742</v>
      </c>
      <c r="W10" s="34" t="s">
        <v>617</v>
      </c>
      <c r="X10" s="87" t="s">
        <v>742</v>
      </c>
      <c r="Y10" s="87" t="s">
        <v>742</v>
      </c>
      <c r="Z10" s="34" t="s">
        <v>742</v>
      </c>
      <c r="AA10" s="34" t="s">
        <v>742</v>
      </c>
      <c r="AB10" s="87" t="s">
        <v>742</v>
      </c>
      <c r="AC10" s="120" t="s">
        <v>199</v>
      </c>
      <c r="AD10" s="109" t="s">
        <v>285</v>
      </c>
      <c r="AF10" s="4">
        <v>9</v>
      </c>
      <c r="AG10" s="4">
        <v>1</v>
      </c>
      <c r="AH10" s="4">
        <v>1</v>
      </c>
      <c r="AI10" s="4">
        <v>3</v>
      </c>
      <c r="AJ10" t="s">
        <v>1905</v>
      </c>
      <c r="AK10">
        <v>16</v>
      </c>
      <c r="AL10">
        <v>16</v>
      </c>
      <c r="AM10">
        <v>4</v>
      </c>
      <c r="AN10">
        <v>11</v>
      </c>
      <c r="AO10">
        <v>40.41</v>
      </c>
      <c r="AP10">
        <v>100</v>
      </c>
      <c r="AQ10">
        <v>20.5</v>
      </c>
      <c r="AS10" s="38">
        <f t="shared" si="0"/>
        <v>9</v>
      </c>
      <c r="AT10" s="25" t="b">
        <f t="shared" si="1"/>
        <v>0</v>
      </c>
      <c r="AU10" s="25">
        <f t="shared" si="2"/>
        <v>9</v>
      </c>
      <c r="AV10" s="25" t="b">
        <f t="shared" si="4"/>
        <v>0</v>
      </c>
      <c r="AW10" s="25" t="b">
        <f t="shared" si="5"/>
        <v>0</v>
      </c>
      <c r="AX10" t="e">
        <f t="shared" si="6"/>
        <v>#N/A</v>
      </c>
      <c r="AY10" s="24" t="e">
        <f t="shared" si="8"/>
        <v>#N/A</v>
      </c>
      <c r="AZ10" t="e">
        <f t="shared" si="3"/>
        <v>#N/A</v>
      </c>
      <c r="BA10" t="b">
        <f t="shared" si="7"/>
        <v>1</v>
      </c>
      <c r="BB10">
        <f t="shared" si="9"/>
      </c>
      <c r="BC10" s="25">
        <v>8</v>
      </c>
      <c r="BD10" s="6">
        <v>28</v>
      </c>
      <c r="BE10" s="8">
        <v>0.6</v>
      </c>
      <c r="BG10" s="25"/>
      <c r="BJ10" s="14">
        <f t="shared" si="10"/>
        <v>4.1149120147542035</v>
      </c>
      <c r="BK10" s="11">
        <f t="shared" si="11"/>
        <v>0.019487171000000008</v>
      </c>
      <c r="BM10" s="13" t="s">
        <v>952</v>
      </c>
      <c r="BN10" s="61">
        <v>1</v>
      </c>
      <c r="BQ10" s="25">
        <v>1</v>
      </c>
      <c r="BR10" s="25">
        <v>0</v>
      </c>
      <c r="BU10" s="39" t="s">
        <v>575</v>
      </c>
      <c r="BV10" s="33"/>
      <c r="BW10" s="33"/>
      <c r="BX10" s="39"/>
      <c r="BY10" s="45"/>
      <c r="BZ10" s="45"/>
      <c r="CK10" s="44"/>
      <c r="CL10" s="44"/>
      <c r="CM10" s="44"/>
      <c r="DK10" s="49"/>
      <c r="DL10" s="18"/>
      <c r="DM10" s="18"/>
      <c r="DN10" s="18"/>
      <c r="DO10" s="18">
        <f>BR57</f>
        <v>2</v>
      </c>
      <c r="DP10" s="18"/>
      <c r="DQ10" s="18">
        <f>-BR57</f>
        <v>-2</v>
      </c>
      <c r="DR10" s="18"/>
      <c r="DS10" s="18"/>
      <c r="DT10" s="18"/>
      <c r="DU10" s="18"/>
      <c r="DV10" s="18"/>
      <c r="DX10" s="49"/>
      <c r="DY10" s="18"/>
      <c r="DZ10" s="18"/>
      <c r="EA10" s="18"/>
      <c r="EB10" s="18">
        <f>BS62</f>
        <v>1.733</v>
      </c>
      <c r="EC10" s="18"/>
      <c r="ED10" s="18">
        <f>-BS62</f>
        <v>-1.733</v>
      </c>
      <c r="EE10" s="18"/>
      <c r="EF10" s="18"/>
      <c r="EG10" s="18"/>
      <c r="EH10" s="18"/>
      <c r="EI10" s="18"/>
      <c r="EJ10" s="25"/>
      <c r="EK10" s="49"/>
      <c r="EL10" s="18"/>
      <c r="EM10" s="18"/>
      <c r="EN10" s="18"/>
      <c r="EO10" s="18">
        <f>BS68</f>
        <v>1.595</v>
      </c>
      <c r="EP10" s="18"/>
      <c r="EQ10" s="18">
        <f>-BS68</f>
        <v>-1.595</v>
      </c>
      <c r="ER10" s="18"/>
      <c r="ES10" s="18"/>
      <c r="ET10" s="18"/>
      <c r="EU10" s="18"/>
      <c r="EV10" s="18"/>
      <c r="EW10" s="25"/>
      <c r="EX10" s="49"/>
    </row>
    <row r="11" spans="1:153" ht="15.75" customHeight="1">
      <c r="A11" s="65"/>
      <c r="B11" s="65"/>
      <c r="C11" s="65"/>
      <c r="D11" s="65"/>
      <c r="E11" s="118"/>
      <c r="F11" s="64" t="str">
        <f>IF(BY27=0,"",BY27)</f>
        <v>G00 Z34.25</v>
      </c>
      <c r="G11" s="116"/>
      <c r="I11" s="5" t="str">
        <f t="shared" si="15"/>
        <v>Fagor</v>
      </c>
      <c r="J11" s="87" t="s">
        <v>743</v>
      </c>
      <c r="K11" s="87" t="s">
        <v>743</v>
      </c>
      <c r="L11" s="34" t="s">
        <v>743</v>
      </c>
      <c r="M11" s="87" t="s">
        <v>743</v>
      </c>
      <c r="N11" s="87" t="s">
        <v>743</v>
      </c>
      <c r="O11" s="34" t="s">
        <v>743</v>
      </c>
      <c r="P11" s="34" t="s">
        <v>743</v>
      </c>
      <c r="Q11" s="34" t="s">
        <v>743</v>
      </c>
      <c r="R11" s="34" t="s">
        <v>743</v>
      </c>
      <c r="S11" s="34" t="s">
        <v>743</v>
      </c>
      <c r="T11" s="34" t="s">
        <v>743</v>
      </c>
      <c r="U11" s="34" t="s">
        <v>743</v>
      </c>
      <c r="V11" s="34" t="s">
        <v>743</v>
      </c>
      <c r="W11" s="34" t="s">
        <v>743</v>
      </c>
      <c r="X11" s="87" t="s">
        <v>743</v>
      </c>
      <c r="Y11" s="87" t="s">
        <v>743</v>
      </c>
      <c r="Z11" s="34" t="s">
        <v>743</v>
      </c>
      <c r="AA11" s="34" t="s">
        <v>743</v>
      </c>
      <c r="AB11" s="87" t="s">
        <v>743</v>
      </c>
      <c r="AC11" s="119" t="s">
        <v>200</v>
      </c>
      <c r="AD11" s="109" t="s">
        <v>286</v>
      </c>
      <c r="AF11" s="4">
        <v>10</v>
      </c>
      <c r="AG11" s="4">
        <v>2</v>
      </c>
      <c r="AH11" s="4">
        <v>4</v>
      </c>
      <c r="AI11" s="4">
        <v>4</v>
      </c>
      <c r="AJ11" t="s">
        <v>1906</v>
      </c>
      <c r="AK11">
        <v>16</v>
      </c>
      <c r="AL11">
        <v>16</v>
      </c>
      <c r="AM11">
        <v>4</v>
      </c>
      <c r="AN11">
        <v>11</v>
      </c>
      <c r="AO11">
        <v>31.17</v>
      </c>
      <c r="AP11">
        <v>100</v>
      </c>
      <c r="AQ11">
        <v>20.5</v>
      </c>
      <c r="AS11" s="38">
        <f t="shared" si="0"/>
        <v>10</v>
      </c>
      <c r="AT11" s="25" t="b">
        <f t="shared" si="1"/>
        <v>0</v>
      </c>
      <c r="AU11" s="25" t="b">
        <f t="shared" si="2"/>
        <v>0</v>
      </c>
      <c r="AV11" s="25" t="b">
        <f t="shared" si="4"/>
        <v>0</v>
      </c>
      <c r="AW11" s="25" t="b">
        <f t="shared" si="5"/>
        <v>0</v>
      </c>
      <c r="AX11" t="e">
        <f t="shared" si="6"/>
        <v>#N/A</v>
      </c>
      <c r="AY11" s="24" t="e">
        <f t="shared" si="8"/>
        <v>#N/A</v>
      </c>
      <c r="AZ11" t="e">
        <f t="shared" si="3"/>
        <v>#N/A</v>
      </c>
      <c r="BA11" t="b">
        <f t="shared" si="7"/>
        <v>1</v>
      </c>
      <c r="BB11">
        <f t="shared" si="9"/>
      </c>
      <c r="BC11" s="25">
        <v>9</v>
      </c>
      <c r="BD11" s="6">
        <v>138</v>
      </c>
      <c r="BE11" s="8">
        <v>1.2</v>
      </c>
      <c r="BG11" s="61">
        <v>1</v>
      </c>
      <c r="BH11" s="7" t="s">
        <v>788</v>
      </c>
      <c r="BJ11" s="14">
        <f t="shared" si="10"/>
        <v>4.567552336377166</v>
      </c>
      <c r="BK11" s="11">
        <f t="shared" si="11"/>
        <v>0.021435888100000012</v>
      </c>
      <c r="BM11" s="34"/>
      <c r="BQ11" s="25">
        <v>2</v>
      </c>
      <c r="BR11" s="35">
        <f>BR4</f>
        <v>40.501</v>
      </c>
      <c r="BT11" s="61">
        <v>1</v>
      </c>
      <c r="BU11" s="39" t="s">
        <v>899</v>
      </c>
      <c r="BV11" s="33">
        <f>IF(BT11=2,1000000,"")</f>
      </c>
      <c r="BW11" s="33"/>
      <c r="BX11" s="39"/>
      <c r="BY11" s="45"/>
      <c r="BZ11" s="45"/>
      <c r="CK11" s="44"/>
      <c r="CL11" s="44"/>
      <c r="CM11" s="44"/>
      <c r="DO11" s="25">
        <f>INT(DO10)</f>
        <v>2</v>
      </c>
      <c r="DQ11" s="25">
        <f>INT(DQ10)</f>
        <v>-2</v>
      </c>
      <c r="DX11" s="46"/>
      <c r="DY11"/>
      <c r="DZ11"/>
      <c r="EA11"/>
      <c r="EB11" s="25">
        <f>INT(EB10)</f>
        <v>1</v>
      </c>
      <c r="EC11"/>
      <c r="ED11" s="25">
        <f>INT(ED10)</f>
        <v>-2</v>
      </c>
      <c r="EE11"/>
      <c r="EF11"/>
      <c r="EG11"/>
      <c r="EH11"/>
      <c r="EI11"/>
      <c r="EJ11" s="25"/>
      <c r="EO11" s="25">
        <f>INT(EO10)</f>
        <v>1</v>
      </c>
      <c r="EQ11" s="25">
        <f>INT(EQ10)</f>
        <v>-2</v>
      </c>
      <c r="EW11" s="25"/>
    </row>
    <row r="12" spans="1:156" ht="15.75" customHeight="1">
      <c r="A12" s="65"/>
      <c r="B12" s="65"/>
      <c r="C12" s="65"/>
      <c r="D12" s="69"/>
      <c r="E12" s="118"/>
      <c r="F12" s="64">
        <f>IF(BY30=0,"",BY30)</f>
      </c>
      <c r="G12" s="64"/>
      <c r="I12" s="5" t="str">
        <f t="shared" si="15"/>
        <v>Mazak</v>
      </c>
      <c r="J12" s="87" t="s">
        <v>744</v>
      </c>
      <c r="K12" s="87" t="s">
        <v>744</v>
      </c>
      <c r="L12" s="34" t="s">
        <v>744</v>
      </c>
      <c r="M12" s="87" t="s">
        <v>744</v>
      </c>
      <c r="N12" s="87" t="s">
        <v>744</v>
      </c>
      <c r="O12" s="34" t="s">
        <v>744</v>
      </c>
      <c r="P12" s="34" t="s">
        <v>744</v>
      </c>
      <c r="Q12" s="34" t="s">
        <v>744</v>
      </c>
      <c r="R12" s="34" t="s">
        <v>744</v>
      </c>
      <c r="S12" s="34" t="s">
        <v>744</v>
      </c>
      <c r="T12" s="34" t="s">
        <v>744</v>
      </c>
      <c r="U12" s="34" t="s">
        <v>744</v>
      </c>
      <c r="V12" s="34" t="s">
        <v>744</v>
      </c>
      <c r="W12" s="34" t="s">
        <v>744</v>
      </c>
      <c r="X12" s="87" t="s">
        <v>744</v>
      </c>
      <c r="Y12" s="87" t="s">
        <v>744</v>
      </c>
      <c r="Z12" s="34" t="s">
        <v>744</v>
      </c>
      <c r="AA12" s="112" t="s">
        <v>1634</v>
      </c>
      <c r="AB12" s="87" t="s">
        <v>744</v>
      </c>
      <c r="AC12" s="119" t="s">
        <v>201</v>
      </c>
      <c r="AD12" s="109" t="s">
        <v>287</v>
      </c>
      <c r="AF12" s="4">
        <v>11</v>
      </c>
      <c r="AG12" s="4">
        <v>2</v>
      </c>
      <c r="AH12" s="4">
        <v>4</v>
      </c>
      <c r="AI12" s="4">
        <v>6</v>
      </c>
      <c r="AJ12" t="s">
        <v>1907</v>
      </c>
      <c r="AK12">
        <v>16</v>
      </c>
      <c r="AL12">
        <v>16</v>
      </c>
      <c r="AM12">
        <v>4</v>
      </c>
      <c r="AN12">
        <v>11.5</v>
      </c>
      <c r="AO12">
        <v>29.82</v>
      </c>
      <c r="AP12">
        <v>100</v>
      </c>
      <c r="AQ12">
        <v>20</v>
      </c>
      <c r="AS12" s="38">
        <f t="shared" si="0"/>
        <v>11</v>
      </c>
      <c r="AT12" s="25" t="b">
        <f t="shared" si="1"/>
        <v>0</v>
      </c>
      <c r="AU12" s="25" t="b">
        <f t="shared" si="2"/>
        <v>0</v>
      </c>
      <c r="AV12" s="25" t="b">
        <f t="shared" si="4"/>
        <v>0</v>
      </c>
      <c r="AW12" s="25" t="b">
        <f t="shared" si="5"/>
        <v>0</v>
      </c>
      <c r="AX12" t="e">
        <f t="shared" si="6"/>
        <v>#N/A</v>
      </c>
      <c r="AY12" s="24" t="e">
        <f t="shared" si="8"/>
        <v>#N/A</v>
      </c>
      <c r="AZ12" t="e">
        <f t="shared" si="3"/>
        <v>#N/A</v>
      </c>
      <c r="BA12" t="b">
        <f t="shared" si="7"/>
        <v>1</v>
      </c>
      <c r="BB12">
        <f t="shared" si="9"/>
      </c>
      <c r="BC12" s="25">
        <v>10</v>
      </c>
      <c r="BD12" s="6">
        <v>113</v>
      </c>
      <c r="BE12" s="8">
        <v>1.1</v>
      </c>
      <c r="BF12" s="9" t="s">
        <v>830</v>
      </c>
      <c r="BG12" s="23">
        <f>LOOKUP(BG11,AF$2:AF$21,AX$2:AX$21)</f>
        <v>162</v>
      </c>
      <c r="BH12" s="26">
        <f>LOOKUP(BG13,BJ3:BJ32,BK3:BK32)</f>
        <v>0.0672749994932561</v>
      </c>
      <c r="BJ12" s="14">
        <f t="shared" si="10"/>
        <v>5.069983093378655</v>
      </c>
      <c r="BK12" s="11">
        <f t="shared" si="11"/>
        <v>0.023579476910000015</v>
      </c>
      <c r="BM12" s="34"/>
      <c r="BQ12" s="25">
        <v>3</v>
      </c>
      <c r="BR12" s="35">
        <f>BR11+BR7</f>
        <v>79.501</v>
      </c>
      <c r="BU12" s="39"/>
      <c r="BV12" s="33"/>
      <c r="BX12" s="39">
        <v>3</v>
      </c>
      <c r="BY12" s="45" t="str">
        <f>LOOKUP(BV$54,BZ$5:DJ$5,BZ12:DJ12)</f>
        <v>G01 G41 X2. Y-2. F156</v>
      </c>
      <c r="BZ12" s="45"/>
      <c r="CA12" s="44" t="str">
        <f>CONCATENATE(DL12,DM12,DN12,DO12,DP12,DQ12,DR12,DS12)</f>
        <v>G01 G41 X2. Y-2. F156</v>
      </c>
      <c r="CB12" s="44" t="str">
        <f>CONCATENATE(BX12,DL79,DM79,DN79)</f>
        <v>3 L IZ-38 FMAX</v>
      </c>
      <c r="CC12" s="44" t="str">
        <f>CONCATENATE(DY12,DZ12,EA12,EB12,EC12,ED12,EE12,EF12)</f>
        <v>G01 G41 X1.733 Y-1.733 F141</v>
      </c>
      <c r="CD12" s="44" t="str">
        <f>CB12</f>
        <v>3 L IZ-38 FMAX</v>
      </c>
      <c r="CE12" s="44" t="str">
        <f>CONCATENATE(EL12,EM12,EN12,EO12,EP12,EQ12,ER12,ES12)</f>
        <v>G01 G41 X1.595 Y-1.595 F133</v>
      </c>
      <c r="CF12" s="44" t="str">
        <f>CD12</f>
        <v>3 L IZ-38 FMAX</v>
      </c>
      <c r="CG12" s="44" t="str">
        <f>CONCATENATE(EY12,EZ12)</f>
        <v>#1=1</v>
      </c>
      <c r="CH12" s="44" t="str">
        <f>CB12</f>
        <v>3 L IZ-38 FMAX</v>
      </c>
      <c r="CI12" s="44" t="str">
        <f>CG12</f>
        <v>#1=1</v>
      </c>
      <c r="CJ12" s="44" t="str">
        <f>CH12</f>
        <v>3 L IZ-38 FMAX</v>
      </c>
      <c r="CK12" s="4" t="str">
        <f>CG12</f>
        <v>#1=1</v>
      </c>
      <c r="CL12" s="4" t="str">
        <f>CH12</f>
        <v>3 L IZ-38 FMAX</v>
      </c>
      <c r="CM12" s="4" t="str">
        <f aca="true" t="shared" si="19" ref="CM12:CR12">CA12</f>
        <v>G01 G41 X2. Y-2. F156</v>
      </c>
      <c r="CN12" s="44" t="str">
        <f t="shared" si="19"/>
        <v>3 L IZ-38 FMAX</v>
      </c>
      <c r="CO12" s="44" t="str">
        <f t="shared" si="19"/>
        <v>G01 G41 X1.733 Y-1.733 F141</v>
      </c>
      <c r="CP12" s="44" t="str">
        <f t="shared" si="19"/>
        <v>3 L IZ-38 FMAX</v>
      </c>
      <c r="CQ12" s="44" t="str">
        <f t="shared" si="19"/>
        <v>G01 G41 X1.595 Y-1.595 F133</v>
      </c>
      <c r="CR12" s="152" t="str">
        <f t="shared" si="19"/>
        <v>3 L IZ-38 FMAX</v>
      </c>
      <c r="CS12" s="44" t="str">
        <f aca="true" t="shared" si="20" ref="CS12:CX12">CA12</f>
        <v>G01 G41 X2. Y-2. F156</v>
      </c>
      <c r="CT12" s="152" t="str">
        <f t="shared" si="20"/>
        <v>3 L IZ-38 FMAX</v>
      </c>
      <c r="CU12" s="44" t="str">
        <f t="shared" si="20"/>
        <v>G01 G41 X1.733 Y-1.733 F141</v>
      </c>
      <c r="CV12" s="152" t="str">
        <f t="shared" si="20"/>
        <v>3 L IZ-38 FMAX</v>
      </c>
      <c r="CW12" s="44" t="str">
        <f t="shared" si="20"/>
        <v>G01 G41 X1.595 Y-1.595 F133</v>
      </c>
      <c r="CX12" s="152" t="str">
        <f t="shared" si="20"/>
        <v>3 L IZ-38 FMAX</v>
      </c>
      <c r="CY12" s="44" t="s">
        <v>653</v>
      </c>
      <c r="CZ12" s="44" t="str">
        <f>CY12</f>
        <v>G12.1</v>
      </c>
      <c r="DA12" s="44" t="str">
        <f>CY12</f>
        <v>G12.1</v>
      </c>
      <c r="DB12" s="44" t="str">
        <f>CY12</f>
        <v>G12.1</v>
      </c>
      <c r="DC12" s="44" t="str">
        <f>CZ12</f>
        <v>G12.1</v>
      </c>
      <c r="DD12" s="44" t="str">
        <f>DA12</f>
        <v>G12.1</v>
      </c>
      <c r="DE12" s="44" t="str">
        <f>CY12</f>
        <v>G12.1</v>
      </c>
      <c r="DF12" s="44" t="str">
        <f>CZ12</f>
        <v>G12.1</v>
      </c>
      <c r="DG12" s="44" t="str">
        <f>DA12</f>
        <v>G12.1</v>
      </c>
      <c r="DH12" s="44" t="str">
        <f>CY12</f>
        <v>G12.1</v>
      </c>
      <c r="DI12" s="44" t="str">
        <f>CZ12</f>
        <v>G12.1</v>
      </c>
      <c r="DJ12" s="44" t="str">
        <f>DA12</f>
        <v>G12.1</v>
      </c>
      <c r="DK12" s="49">
        <v>3</v>
      </c>
      <c r="DL12" s="18" t="s">
        <v>582</v>
      </c>
      <c r="DM12" s="18" t="s">
        <v>583</v>
      </c>
      <c r="DN12" s="18" t="s">
        <v>584</v>
      </c>
      <c r="DO12" s="18" t="str">
        <f>SUBSTITUTE(DO10,",",".")</f>
        <v>2</v>
      </c>
      <c r="DP12" s="18" t="str">
        <f>IF(DO10=DO11,". Y"," Y")</f>
        <v>. Y</v>
      </c>
      <c r="DQ12" s="18" t="str">
        <f>SUBSTITUTE(DQ10,",",".")</f>
        <v>-2</v>
      </c>
      <c r="DR12" s="18" t="str">
        <f>IF(DQ10=DQ11,". F"," F")</f>
        <v>. F</v>
      </c>
      <c r="DS12" s="6">
        <f>C31</f>
        <v>156</v>
      </c>
      <c r="DT12" s="18"/>
      <c r="DU12" s="18"/>
      <c r="DV12" s="18"/>
      <c r="DX12" s="49">
        <v>3</v>
      </c>
      <c r="DY12" s="18" t="s">
        <v>582</v>
      </c>
      <c r="DZ12" s="18" t="s">
        <v>583</v>
      </c>
      <c r="EA12" s="18" t="s">
        <v>584</v>
      </c>
      <c r="EB12" s="18" t="str">
        <f>SUBSTITUTE(EB10,",",".")</f>
        <v>1.733</v>
      </c>
      <c r="EC12" s="18" t="str">
        <f>IF(EB10=EB11,". Y"," Y")</f>
        <v> Y</v>
      </c>
      <c r="ED12" s="18" t="str">
        <f>SUBSTITUTE(ED10,",",".")</f>
        <v>-1.733</v>
      </c>
      <c r="EE12" s="18" t="str">
        <f>IF(ED10=ED11,". F"," F")</f>
        <v> F</v>
      </c>
      <c r="EF12" s="6">
        <f>BT62</f>
        <v>141</v>
      </c>
      <c r="EG12" s="18"/>
      <c r="EH12" s="18"/>
      <c r="EI12" s="18"/>
      <c r="EJ12" s="25"/>
      <c r="EK12" s="49">
        <v>3</v>
      </c>
      <c r="EL12" s="18" t="s">
        <v>582</v>
      </c>
      <c r="EM12" s="18" t="s">
        <v>583</v>
      </c>
      <c r="EN12" s="18" t="s">
        <v>584</v>
      </c>
      <c r="EO12" s="18" t="str">
        <f>SUBSTITUTE(EO10,",",".")</f>
        <v>1.595</v>
      </c>
      <c r="EP12" s="18" t="str">
        <f>IF(EO10=EO11,". Y"," Y")</f>
        <v> Y</v>
      </c>
      <c r="EQ12" s="18" t="str">
        <f>SUBSTITUTE(EQ10,",",".")</f>
        <v>-1.595</v>
      </c>
      <c r="ER12" s="18" t="str">
        <f>IF(EQ10=EQ11,". F"," F")</f>
        <v> F</v>
      </c>
      <c r="ES12" s="6">
        <f>BT68</f>
        <v>133</v>
      </c>
      <c r="ET12" s="18"/>
      <c r="EU12" s="18"/>
      <c r="EV12" s="18"/>
      <c r="EW12" s="25"/>
      <c r="EX12" s="49">
        <v>3</v>
      </c>
      <c r="EY12" s="147" t="s">
        <v>759</v>
      </c>
      <c r="EZ12" s="148">
        <f>BR9</f>
        <v>1</v>
      </c>
    </row>
    <row r="13" spans="1:154" ht="15.75" customHeight="1">
      <c r="A13" s="65"/>
      <c r="B13" s="65"/>
      <c r="C13" s="65"/>
      <c r="D13" s="69"/>
      <c r="E13" s="118"/>
      <c r="F13" s="64">
        <f>IF(BY33=0,"",BY33)</f>
      </c>
      <c r="G13" s="64"/>
      <c r="I13" s="5" t="str">
        <f t="shared" si="15"/>
        <v>Mitsubishi</v>
      </c>
      <c r="J13" s="87" t="s">
        <v>666</v>
      </c>
      <c r="K13" s="87" t="s">
        <v>666</v>
      </c>
      <c r="L13" s="34" t="s">
        <v>666</v>
      </c>
      <c r="M13" s="87" t="s">
        <v>666</v>
      </c>
      <c r="N13" s="87" t="s">
        <v>666</v>
      </c>
      <c r="O13" s="34" t="s">
        <v>666</v>
      </c>
      <c r="P13" s="34" t="s">
        <v>666</v>
      </c>
      <c r="Q13" s="34" t="s">
        <v>666</v>
      </c>
      <c r="R13" s="34" t="s">
        <v>666</v>
      </c>
      <c r="S13" s="34" t="s">
        <v>666</v>
      </c>
      <c r="T13" s="34" t="s">
        <v>666</v>
      </c>
      <c r="U13" s="34" t="s">
        <v>666</v>
      </c>
      <c r="V13" s="34" t="s">
        <v>666</v>
      </c>
      <c r="W13" s="34" t="s">
        <v>666</v>
      </c>
      <c r="X13" s="87" t="s">
        <v>666</v>
      </c>
      <c r="Y13" s="87" t="s">
        <v>666</v>
      </c>
      <c r="Z13" s="34" t="s">
        <v>666</v>
      </c>
      <c r="AA13" s="112" t="s">
        <v>1635</v>
      </c>
      <c r="AB13" s="87" t="s">
        <v>666</v>
      </c>
      <c r="AC13" s="119" t="s">
        <v>202</v>
      </c>
      <c r="AD13" s="109" t="s">
        <v>288</v>
      </c>
      <c r="AF13" s="4">
        <v>12</v>
      </c>
      <c r="AG13" s="4">
        <v>2</v>
      </c>
      <c r="AH13" s="4">
        <v>4</v>
      </c>
      <c r="AI13" s="4">
        <v>5</v>
      </c>
      <c r="AJ13" t="s">
        <v>1908</v>
      </c>
      <c r="AK13">
        <v>16</v>
      </c>
      <c r="AL13">
        <v>16</v>
      </c>
      <c r="AM13">
        <v>4</v>
      </c>
      <c r="AN13">
        <v>11.5</v>
      </c>
      <c r="AO13">
        <v>29.82</v>
      </c>
      <c r="AP13">
        <v>100</v>
      </c>
      <c r="AQ13">
        <v>20</v>
      </c>
      <c r="AS13" s="38">
        <f t="shared" si="0"/>
        <v>12</v>
      </c>
      <c r="AT13" s="25" t="b">
        <f t="shared" si="1"/>
        <v>0</v>
      </c>
      <c r="AU13" s="25" t="b">
        <f t="shared" si="2"/>
        <v>0</v>
      </c>
      <c r="AV13" s="25" t="b">
        <f t="shared" si="4"/>
        <v>0</v>
      </c>
      <c r="AW13" s="25" t="b">
        <f t="shared" si="5"/>
        <v>0</v>
      </c>
      <c r="AX13" t="e">
        <f t="shared" si="6"/>
        <v>#N/A</v>
      </c>
      <c r="AY13" s="24" t="e">
        <f t="shared" si="8"/>
        <v>#N/A</v>
      </c>
      <c r="AZ13" t="e">
        <f t="shared" si="3"/>
        <v>#N/A</v>
      </c>
      <c r="BA13" t="b">
        <f t="shared" si="7"/>
        <v>1</v>
      </c>
      <c r="BB13">
        <f t="shared" si="9"/>
      </c>
      <c r="BC13" s="25">
        <v>11</v>
      </c>
      <c r="BD13" s="6">
        <v>113</v>
      </c>
      <c r="BE13" s="8">
        <v>1</v>
      </c>
      <c r="BF13" s="9" t="s">
        <v>848</v>
      </c>
      <c r="BG13" s="27">
        <f>IF(D22&gt;0,D22,C22)</f>
        <v>16</v>
      </c>
      <c r="BJ13" s="14">
        <f t="shared" si="10"/>
        <v>5.627681233650307</v>
      </c>
      <c r="BK13" s="11">
        <f t="shared" si="11"/>
        <v>0.025937424601000018</v>
      </c>
      <c r="BM13" s="34"/>
      <c r="BQ13" s="25">
        <v>4</v>
      </c>
      <c r="BR13" s="35">
        <f>BR12+BR7</f>
        <v>118.501</v>
      </c>
      <c r="BU13" s="39" t="s">
        <v>646</v>
      </c>
      <c r="BV13" s="33">
        <f>SUM(BV5:BV11)</f>
        <v>11</v>
      </c>
      <c r="BW13" s="33"/>
      <c r="BX13" s="39"/>
      <c r="BY13" s="45"/>
      <c r="BZ13" s="45"/>
      <c r="CK13" s="44"/>
      <c r="CL13" s="44"/>
      <c r="CM13" s="44"/>
      <c r="DK13" s="49"/>
      <c r="DL13" s="18"/>
      <c r="DM13" s="18"/>
      <c r="DN13" s="18">
        <f>BR57</f>
        <v>2</v>
      </c>
      <c r="DO13" s="18"/>
      <c r="DP13" s="18">
        <f>BR57</f>
        <v>2</v>
      </c>
      <c r="DQ13" s="18"/>
      <c r="DR13" s="18">
        <f>ROUND(BN6/8,3)</f>
        <v>0.375</v>
      </c>
      <c r="DS13" s="18"/>
      <c r="DT13" s="18"/>
      <c r="DU13" s="18"/>
      <c r="DV13" s="18">
        <f>BR57</f>
        <v>2</v>
      </c>
      <c r="DX13" s="49"/>
      <c r="DY13" s="18"/>
      <c r="DZ13" s="18"/>
      <c r="EA13" s="18">
        <f>BS62</f>
        <v>1.733</v>
      </c>
      <c r="EB13" s="18"/>
      <c r="EC13" s="18">
        <f>BS62</f>
        <v>1.733</v>
      </c>
      <c r="ED13" s="18"/>
      <c r="EE13" s="18">
        <f>ROUND(BN6/8,3)</f>
        <v>0.375</v>
      </c>
      <c r="EF13" s="18"/>
      <c r="EG13" s="18"/>
      <c r="EH13" s="18"/>
      <c r="EI13" s="18">
        <f>BS62</f>
        <v>1.733</v>
      </c>
      <c r="EJ13" s="25"/>
      <c r="EK13" s="49"/>
      <c r="EL13" s="18"/>
      <c r="EM13" s="18"/>
      <c r="EN13" s="18">
        <f>BS68</f>
        <v>1.595</v>
      </c>
      <c r="EO13" s="18"/>
      <c r="EP13" s="18">
        <f>BS68</f>
        <v>1.595</v>
      </c>
      <c r="EQ13" s="18"/>
      <c r="ER13" s="18">
        <f>ROUND(BN6/8,3)</f>
        <v>0.375</v>
      </c>
      <c r="ES13" s="18"/>
      <c r="ET13" s="18"/>
      <c r="EU13" s="18"/>
      <c r="EV13" s="18">
        <f>BS68</f>
        <v>1.595</v>
      </c>
      <c r="EW13" s="25"/>
      <c r="EX13" s="49"/>
    </row>
    <row r="14" spans="1:154" ht="15.75" customHeight="1">
      <c r="A14" s="65"/>
      <c r="B14" s="70" t="str">
        <f>I60</f>
        <v>D = thread diameter (mm)</v>
      </c>
      <c r="C14" s="71">
        <v>24</v>
      </c>
      <c r="D14" s="72">
        <v>1</v>
      </c>
      <c r="E14" s="118"/>
      <c r="F14" s="64">
        <f>IF(BY36=0,"",BY36)</f>
      </c>
      <c r="G14" s="64"/>
      <c r="J14" s="87"/>
      <c r="Z14" s="98"/>
      <c r="AC14" s="120"/>
      <c r="AF14" s="4">
        <v>13</v>
      </c>
      <c r="AG14" s="4">
        <v>1</v>
      </c>
      <c r="AH14" s="4">
        <v>1</v>
      </c>
      <c r="AI14" s="4">
        <v>7</v>
      </c>
      <c r="AJ14" t="s">
        <v>1909</v>
      </c>
      <c r="AK14">
        <v>16</v>
      </c>
      <c r="AL14">
        <v>16</v>
      </c>
      <c r="AM14">
        <v>4</v>
      </c>
      <c r="AN14">
        <v>11.5</v>
      </c>
      <c r="AO14">
        <v>29.82</v>
      </c>
      <c r="AP14">
        <v>100</v>
      </c>
      <c r="AQ14">
        <v>20</v>
      </c>
      <c r="AS14" s="38">
        <f t="shared" si="0"/>
        <v>13</v>
      </c>
      <c r="AT14" s="25" t="b">
        <f t="shared" si="1"/>
        <v>0</v>
      </c>
      <c r="AU14" s="25" t="b">
        <f t="shared" si="2"/>
        <v>0</v>
      </c>
      <c r="AV14" s="25" t="b">
        <f t="shared" si="4"/>
        <v>0</v>
      </c>
      <c r="AW14" s="25" t="b">
        <f t="shared" si="5"/>
        <v>0</v>
      </c>
      <c r="AX14" t="e">
        <f t="shared" si="6"/>
        <v>#N/A</v>
      </c>
      <c r="AY14" s="24" t="e">
        <f t="shared" si="8"/>
        <v>#N/A</v>
      </c>
      <c r="AZ14" t="e">
        <f t="shared" si="3"/>
        <v>#N/A</v>
      </c>
      <c r="BA14" t="b">
        <f t="shared" si="7"/>
        <v>1</v>
      </c>
      <c r="BB14">
        <f t="shared" si="9"/>
      </c>
      <c r="BC14" s="25">
        <v>12</v>
      </c>
      <c r="BD14" s="6">
        <v>90</v>
      </c>
      <c r="BE14" s="8">
        <v>0.9</v>
      </c>
      <c r="BJ14" s="14">
        <f t="shared" si="10"/>
        <v>6.246726169351842</v>
      </c>
      <c r="BK14" s="11">
        <f t="shared" si="11"/>
        <v>0.02853116706110002</v>
      </c>
      <c r="BQ14" s="25">
        <v>5</v>
      </c>
      <c r="BR14" s="35">
        <f>BR13+BR7</f>
        <v>157.501</v>
      </c>
      <c r="BU14" s="33"/>
      <c r="BV14" s="33"/>
      <c r="BW14" s="33"/>
      <c r="BX14" s="39"/>
      <c r="BY14" s="45"/>
      <c r="BZ14" s="45"/>
      <c r="CK14" s="44"/>
      <c r="CL14" s="44"/>
      <c r="CM14" s="44"/>
      <c r="DK14" s="48"/>
      <c r="DL14" s="25"/>
      <c r="DM14" s="25"/>
      <c r="DN14" s="25">
        <f>INT(DN13)</f>
        <v>2</v>
      </c>
      <c r="DO14" s="25"/>
      <c r="DP14" s="25">
        <f>INT(DP13)</f>
        <v>2</v>
      </c>
      <c r="DQ14" s="25"/>
      <c r="DR14" s="25">
        <f>INT(DR13)</f>
        <v>0</v>
      </c>
      <c r="DS14" s="25"/>
      <c r="DT14" s="25"/>
      <c r="DU14" s="25"/>
      <c r="DV14" s="25">
        <f>INT(DV13)</f>
        <v>2</v>
      </c>
      <c r="EA14" s="25">
        <f>INT(EA13)</f>
        <v>1</v>
      </c>
      <c r="EC14" s="25">
        <f>INT(EC13)</f>
        <v>1</v>
      </c>
      <c r="EE14" s="25">
        <f>INT(EE13)</f>
        <v>0</v>
      </c>
      <c r="EI14" s="25">
        <f>INT(EI13)</f>
        <v>1</v>
      </c>
      <c r="EJ14" s="25"/>
      <c r="EK14" s="48"/>
      <c r="EL14" s="25"/>
      <c r="EM14" s="25"/>
      <c r="EN14" s="25">
        <f>INT(EN13)</f>
        <v>1</v>
      </c>
      <c r="EO14" s="25"/>
      <c r="EP14" s="25">
        <f>INT(EP13)</f>
        <v>1</v>
      </c>
      <c r="EQ14" s="25"/>
      <c r="ER14" s="25">
        <f>INT(ER13)</f>
        <v>0</v>
      </c>
      <c r="ES14" s="25"/>
      <c r="ET14" s="25"/>
      <c r="EU14" s="25"/>
      <c r="EV14" s="25">
        <f>INT(EV13)</f>
        <v>1</v>
      </c>
      <c r="EW14" s="25"/>
      <c r="EX14" s="48"/>
    </row>
    <row r="15" spans="1:213" ht="15.75" customHeight="1">
      <c r="A15" s="65"/>
      <c r="B15" s="70" t="str">
        <f>IF(BN10=1,I61,I62)</f>
        <v>P = pitch (mm)</v>
      </c>
      <c r="C15" s="73">
        <v>3</v>
      </c>
      <c r="D15" s="72">
        <v>2</v>
      </c>
      <c r="E15" s="118"/>
      <c r="F15" s="64">
        <f>IF(BY39=0,"",BY39)</f>
      </c>
      <c r="G15" s="64"/>
      <c r="J15" s="87"/>
      <c r="Z15" s="98"/>
      <c r="AC15" s="120"/>
      <c r="AF15" s="4">
        <v>14</v>
      </c>
      <c r="AG15" s="4">
        <v>2</v>
      </c>
      <c r="AH15" s="4">
        <v>4</v>
      </c>
      <c r="AI15" s="4">
        <v>5</v>
      </c>
      <c r="AJ15" t="s">
        <v>1910</v>
      </c>
      <c r="AK15">
        <v>16</v>
      </c>
      <c r="AL15">
        <v>16</v>
      </c>
      <c r="AM15">
        <v>4</v>
      </c>
      <c r="AN15">
        <v>14</v>
      </c>
      <c r="AO15">
        <v>22.86</v>
      </c>
      <c r="AP15">
        <v>100</v>
      </c>
      <c r="AQ15">
        <v>19.4</v>
      </c>
      <c r="AS15" s="38">
        <f t="shared" si="0"/>
        <v>14</v>
      </c>
      <c r="AT15" s="25" t="b">
        <f t="shared" si="1"/>
        <v>0</v>
      </c>
      <c r="AU15" s="25" t="b">
        <f t="shared" si="2"/>
        <v>0</v>
      </c>
      <c r="AV15" s="25" t="b">
        <f t="shared" si="4"/>
        <v>0</v>
      </c>
      <c r="AW15" s="25" t="b">
        <f t="shared" si="5"/>
        <v>0</v>
      </c>
      <c r="AX15" t="e">
        <f t="shared" si="6"/>
        <v>#N/A</v>
      </c>
      <c r="AY15" s="24" t="e">
        <f t="shared" si="8"/>
        <v>#N/A</v>
      </c>
      <c r="AZ15" t="e">
        <f t="shared" si="3"/>
        <v>#N/A</v>
      </c>
      <c r="BA15" t="b">
        <f t="shared" si="7"/>
        <v>1</v>
      </c>
      <c r="BB15">
        <f t="shared" si="9"/>
      </c>
      <c r="BC15" s="25">
        <v>13</v>
      </c>
      <c r="BD15" s="6">
        <v>138</v>
      </c>
      <c r="BE15" s="8">
        <v>1</v>
      </c>
      <c r="BF15" s="9" t="s">
        <v>850</v>
      </c>
      <c r="BG15" s="27">
        <f>IF(D24&gt;0,D24,C24)</f>
        <v>3</v>
      </c>
      <c r="BJ15" s="14">
        <f t="shared" si="10"/>
        <v>6.933866047980545</v>
      </c>
      <c r="BK15" s="11">
        <f t="shared" si="11"/>
        <v>0.031384283767210024</v>
      </c>
      <c r="BQ15" s="25">
        <v>6</v>
      </c>
      <c r="BR15" s="35">
        <f>BR14+BR7</f>
        <v>196.501</v>
      </c>
      <c r="BU15" s="33">
        <v>10111</v>
      </c>
      <c r="BV15" s="33">
        <f>(IF(BV$13=BU15,BV$13,0))</f>
        <v>0</v>
      </c>
      <c r="BW15" s="33"/>
      <c r="BX15" s="39">
        <v>4</v>
      </c>
      <c r="BY15" s="45" t="str">
        <f>LOOKUP(BV$54,BZ$5:DJ$5,BZ15:DJ15)</f>
        <v>G03 X2. Y2. Z0.375 I0. J2.</v>
      </c>
      <c r="BZ15" s="45"/>
      <c r="CA15" s="44" t="str">
        <f>CONCATENATE(DL15,DM15,DN15,DO15,DP15,DQ15,DR15,DS15,DT15,DU15,DV15,DW15)</f>
        <v>G03 X2. Y2. Z0.375 I0. J2.</v>
      </c>
      <c r="CB15" s="44" t="str">
        <f>CONCATENATE(BX15,DL82,DM82,DN82,DO82,DP82,DQ82)</f>
        <v>4 L IX+2 IY-2 RL F156</v>
      </c>
      <c r="CC15" s="44" t="str">
        <f>CONCATENATE(DY15,DZ15,EA15,EB15,EC15,ED15,EE15,EF15,EG15,EH15,EI15,EJ15)</f>
        <v>G03 X1.733 Y1.733 Z0.375 I0. J1.733</v>
      </c>
      <c r="CD15" s="44" t="str">
        <f>CONCATENATE(BX15,DY82,DZ82,EA82,EB82,EC82,ED82)</f>
        <v>4 L IX+1.733 IY-1.733 RL F141</v>
      </c>
      <c r="CE15" s="44" t="str">
        <f>CONCATENATE(EL15,EM15,EN15,EO15,EP15,EQ15,ER15,ES15,ET15,EU15,EV15,EW15)</f>
        <v>G03 X1.595 Y1.595 Z0.375 I0. J1.595</v>
      </c>
      <c r="CF15" s="44" t="str">
        <f>CONCATENATE(BX15,EL82,EM82,EN82,EO82,EP82,EQ82)</f>
        <v>4 L IX+1.595 IY-1.595 RL F133</v>
      </c>
      <c r="CG15" s="44" t="str">
        <f>EY15</f>
        <v>#2=0</v>
      </c>
      <c r="CH15" s="44" t="str">
        <f>CONCATENATE(BX15,EY82,EZ82)</f>
        <v>4 FN 0: Q1 =+1</v>
      </c>
      <c r="CI15" s="44" t="str">
        <f>CG15</f>
        <v>#2=0</v>
      </c>
      <c r="CJ15" s="44" t="str">
        <f>CH15</f>
        <v>4 FN 0: Q1 =+1</v>
      </c>
      <c r="CK15" s="44" t="str">
        <f>CG15</f>
        <v>#2=0</v>
      </c>
      <c r="CL15" s="4" t="str">
        <f>CH15</f>
        <v>4 FN 0: Q1 =+1</v>
      </c>
      <c r="CM15" s="44" t="str">
        <f aca="true" t="shared" si="21" ref="CM15:CR15">CA15</f>
        <v>G03 X2. Y2. Z0.375 I0. J2.</v>
      </c>
      <c r="CN15" s="44" t="str">
        <f t="shared" si="21"/>
        <v>4 L IX+2 IY-2 RL F156</v>
      </c>
      <c r="CO15" s="44" t="str">
        <f t="shared" si="21"/>
        <v>G03 X1.733 Y1.733 Z0.375 I0. J1.733</v>
      </c>
      <c r="CP15" s="44" t="str">
        <f t="shared" si="21"/>
        <v>4 L IX+1.733 IY-1.733 RL F141</v>
      </c>
      <c r="CQ15" s="44" t="str">
        <f t="shared" si="21"/>
        <v>G03 X1.595 Y1.595 Z0.375 I0. J1.595</v>
      </c>
      <c r="CR15" s="152" t="str">
        <f t="shared" si="21"/>
        <v>4 L IX+1.595 IY-1.595 RL F133</v>
      </c>
      <c r="CS15" s="44" t="str">
        <f aca="true" t="shared" si="22" ref="CS15:CX15">CA15</f>
        <v>G03 X2. Y2. Z0.375 I0. J2.</v>
      </c>
      <c r="CT15" s="152" t="str">
        <f t="shared" si="22"/>
        <v>4 L IX+2 IY-2 RL F156</v>
      </c>
      <c r="CU15" s="44" t="str">
        <f t="shared" si="22"/>
        <v>G03 X1.733 Y1.733 Z0.375 I0. J1.733</v>
      </c>
      <c r="CV15" s="152" t="str">
        <f t="shared" si="22"/>
        <v>4 L IX+1.733 IY-1.733 RL F141</v>
      </c>
      <c r="CW15" s="44" t="str">
        <f t="shared" si="22"/>
        <v>G03 X1.595 Y1.595 Z0.375 I0. J1.595</v>
      </c>
      <c r="CX15" s="152" t="str">
        <f t="shared" si="22"/>
        <v>4 L IX+1.595 IY-1.595 RL F133</v>
      </c>
      <c r="CY15" s="44" t="str">
        <f>CONCATENATE(DL12,DM12,DN12,DO12,HA15,DQ12,DR12,DS12)</f>
        <v>G01 G41 X2. C-2. F156</v>
      </c>
      <c r="CZ15" s="44" t="str">
        <f>CONCATENATE(DY12,DZ12,EA12,EB12,HC15,ED12,EE12,EF12)</f>
        <v>G01 G41 X1.733 C-1.733 F141</v>
      </c>
      <c r="DA15" s="44" t="str">
        <f>CONCATENATE(EL12,EM12,EN12,EO12,HE15,EQ12,ER12,ES12)</f>
        <v>G01 G41 X1.595 C-1.595 F133</v>
      </c>
      <c r="DB15" s="44" t="str">
        <f>CG12</f>
        <v>#1=1</v>
      </c>
      <c r="DC15" s="44" t="str">
        <f>DB15</f>
        <v>#1=1</v>
      </c>
      <c r="DD15" s="44" t="str">
        <f>DB15</f>
        <v>#1=1</v>
      </c>
      <c r="DE15" s="44" t="str">
        <f>CY15</f>
        <v>G01 G41 X2. C-2. F156</v>
      </c>
      <c r="DF15" s="44" t="str">
        <f>CZ15</f>
        <v>G01 G41 X1.733 C-1.733 F141</v>
      </c>
      <c r="DG15" s="44" t="str">
        <f>DA15</f>
        <v>G01 G41 X1.595 C-1.595 F133</v>
      </c>
      <c r="DH15" s="44" t="str">
        <f>CY15</f>
        <v>G01 G41 X2. C-2. F156</v>
      </c>
      <c r="DI15" s="44" t="str">
        <f>CZ15</f>
        <v>G01 G41 X1.733 C-1.733 F141</v>
      </c>
      <c r="DJ15" s="44" t="str">
        <f>DA15</f>
        <v>G01 G41 X1.595 C-1.595 F133</v>
      </c>
      <c r="DK15" s="49">
        <v>4</v>
      </c>
      <c r="DL15" s="18" t="s">
        <v>585</v>
      </c>
      <c r="DM15" s="18" t="s">
        <v>584</v>
      </c>
      <c r="DN15" s="18" t="str">
        <f>SUBSTITUTE(DN13,",",".")</f>
        <v>2</v>
      </c>
      <c r="DO15" s="18" t="str">
        <f>IF(DN13=DN14,". Y"," Y")</f>
        <v>. Y</v>
      </c>
      <c r="DP15" s="18" t="str">
        <f>SUBSTITUTE(DP13,",",".")</f>
        <v>2</v>
      </c>
      <c r="DQ15" s="18" t="str">
        <f>IF(DP13=DP14,". Z"," Z")</f>
        <v>. Z</v>
      </c>
      <c r="DR15" s="18" t="str">
        <f>SUBSTITUTE(DR13,",",".")</f>
        <v>0.375</v>
      </c>
      <c r="DS15" s="18" t="str">
        <f>IF(DR13=DR14,". I"," I")</f>
        <v> I</v>
      </c>
      <c r="DT15" s="18">
        <v>0</v>
      </c>
      <c r="DU15" s="18" t="s">
        <v>589</v>
      </c>
      <c r="DV15" s="18" t="str">
        <f>SUBSTITUTE(DV13,",",".")</f>
        <v>2</v>
      </c>
      <c r="DW15" s="18" t="str">
        <f>IF(DV13=DV14,".","")</f>
        <v>.</v>
      </c>
      <c r="DX15" s="49">
        <v>4</v>
      </c>
      <c r="DY15" s="18" t="s">
        <v>585</v>
      </c>
      <c r="DZ15" s="18" t="s">
        <v>584</v>
      </c>
      <c r="EA15" s="18" t="str">
        <f>SUBSTITUTE(EA13,",",".")</f>
        <v>1.733</v>
      </c>
      <c r="EB15" s="18" t="str">
        <f>IF(EA13=EA14,". Y"," Y")</f>
        <v> Y</v>
      </c>
      <c r="EC15" s="18" t="str">
        <f>SUBSTITUTE(EC13,",",".")</f>
        <v>1.733</v>
      </c>
      <c r="ED15" s="18" t="str">
        <f>IF(EC13=EC14,". Z"," Z")</f>
        <v> Z</v>
      </c>
      <c r="EE15" s="18" t="str">
        <f>SUBSTITUTE(EE13,",",".")</f>
        <v>0.375</v>
      </c>
      <c r="EF15" s="18" t="str">
        <f>IF(EE13=EE14,". I"," I")</f>
        <v> I</v>
      </c>
      <c r="EG15" s="18">
        <v>0</v>
      </c>
      <c r="EH15" s="18" t="s">
        <v>589</v>
      </c>
      <c r="EI15" s="18" t="str">
        <f>SUBSTITUTE(EI13,",",".")</f>
        <v>1.733</v>
      </c>
      <c r="EJ15" s="18">
        <f>IF(EI13=EI14,".","")</f>
      </c>
      <c r="EK15" s="49">
        <v>4</v>
      </c>
      <c r="EL15" s="18" t="s">
        <v>585</v>
      </c>
      <c r="EM15" s="18" t="s">
        <v>584</v>
      </c>
      <c r="EN15" s="18" t="str">
        <f>SUBSTITUTE(EN13,",",".")</f>
        <v>1.595</v>
      </c>
      <c r="EO15" s="18" t="str">
        <f>IF(EN13=EN14,". Y"," Y")</f>
        <v> Y</v>
      </c>
      <c r="EP15" s="18" t="str">
        <f>SUBSTITUTE(EP13,",",".")</f>
        <v>1.595</v>
      </c>
      <c r="EQ15" s="18" t="str">
        <f>IF(EP13=EP14,". Z"," Z")</f>
        <v> Z</v>
      </c>
      <c r="ER15" s="18" t="str">
        <f>SUBSTITUTE(ER13,",",".")</f>
        <v>0.375</v>
      </c>
      <c r="ES15" s="18" t="str">
        <f>IF(ER13=ER14,". I"," I")</f>
        <v> I</v>
      </c>
      <c r="ET15" s="18">
        <v>0</v>
      </c>
      <c r="EU15" s="18" t="s">
        <v>589</v>
      </c>
      <c r="EV15" s="18" t="str">
        <f>SUBSTITUTE(EV13,",",".")</f>
        <v>1.595</v>
      </c>
      <c r="EW15" s="18">
        <f>IF(EV13=EV14,".","")</f>
      </c>
      <c r="EX15" s="49">
        <v>4</v>
      </c>
      <c r="EY15" s="147" t="s">
        <v>760</v>
      </c>
      <c r="GZ15" s="49">
        <v>4</v>
      </c>
      <c r="HA15" s="33" t="str">
        <f>IF(DO10=DO11,". C"," C")</f>
        <v>. C</v>
      </c>
      <c r="HB15" s="49">
        <v>4</v>
      </c>
      <c r="HC15" s="33" t="str">
        <f>IF(EB10=EB11,". C"," C")</f>
        <v> C</v>
      </c>
      <c r="HD15" s="49">
        <v>4</v>
      </c>
      <c r="HE15" s="33" t="str">
        <f>IF(EO10=EO11,". C"," C")</f>
        <v> C</v>
      </c>
    </row>
    <row r="16" spans="1:206" ht="15.75" customHeight="1">
      <c r="A16" s="65"/>
      <c r="B16" s="70" t="str">
        <f>I63</f>
        <v>L = thread length (mm)</v>
      </c>
      <c r="C16" s="73">
        <v>36</v>
      </c>
      <c r="D16" s="72">
        <v>3</v>
      </c>
      <c r="E16" s="118"/>
      <c r="F16" s="64">
        <f>IF(BY42=0,"",BY42)</f>
      </c>
      <c r="G16" s="64"/>
      <c r="J16" s="87"/>
      <c r="Z16" s="98"/>
      <c r="AC16" s="120"/>
      <c r="AF16" s="4">
        <v>15</v>
      </c>
      <c r="AG16" s="4">
        <v>1</v>
      </c>
      <c r="AH16" s="4">
        <v>1</v>
      </c>
      <c r="AI16" s="4">
        <v>8</v>
      </c>
      <c r="AJ16" t="s">
        <v>1911</v>
      </c>
      <c r="AK16">
        <v>12</v>
      </c>
      <c r="AL16">
        <v>12</v>
      </c>
      <c r="AM16">
        <v>4</v>
      </c>
      <c r="AN16">
        <v>16</v>
      </c>
      <c r="AO16">
        <v>30.96</v>
      </c>
      <c r="AP16">
        <v>83</v>
      </c>
      <c r="AQ16">
        <v>14.1</v>
      </c>
      <c r="AS16" s="38">
        <f t="shared" si="0"/>
        <v>15</v>
      </c>
      <c r="AT16" s="25" t="b">
        <f t="shared" si="1"/>
        <v>0</v>
      </c>
      <c r="AU16" s="25" t="b">
        <f t="shared" si="2"/>
        <v>0</v>
      </c>
      <c r="AV16" s="25" t="b">
        <f t="shared" si="4"/>
        <v>0</v>
      </c>
      <c r="AW16" s="25" t="b">
        <f t="shared" si="5"/>
        <v>0</v>
      </c>
      <c r="AX16" t="e">
        <f t="shared" si="6"/>
        <v>#N/A</v>
      </c>
      <c r="AY16" s="24" t="e">
        <f t="shared" si="8"/>
        <v>#N/A</v>
      </c>
      <c r="AZ16" t="e">
        <f t="shared" si="3"/>
        <v>#N/A</v>
      </c>
      <c r="BA16" t="b">
        <f t="shared" si="7"/>
        <v>1</v>
      </c>
      <c r="BB16">
        <f t="shared" si="9"/>
      </c>
      <c r="BC16" s="25">
        <v>14</v>
      </c>
      <c r="BD16" s="6">
        <v>103</v>
      </c>
      <c r="BE16" s="8">
        <v>0.9</v>
      </c>
      <c r="BG16" s="10"/>
      <c r="BH16" s="11"/>
      <c r="BJ16" s="14">
        <f t="shared" si="10"/>
        <v>7.696591313258406</v>
      </c>
      <c r="BK16" s="11">
        <f t="shared" si="11"/>
        <v>0.03452271214393103</v>
      </c>
      <c r="BQ16" s="25">
        <v>7</v>
      </c>
      <c r="BR16" s="35">
        <f>BR15+BR7</f>
        <v>235.501</v>
      </c>
      <c r="BU16" s="33">
        <v>10112</v>
      </c>
      <c r="BV16" s="33">
        <f aca="true" t="shared" si="23" ref="BV16:BV31">(IF(BV$13=BU16,BV$13,0))</f>
        <v>0</v>
      </c>
      <c r="BX16" s="39"/>
      <c r="BY16" s="45"/>
      <c r="BZ16" s="45"/>
      <c r="CL16" s="44"/>
      <c r="DK16" s="49"/>
      <c r="DL16" s="18"/>
      <c r="DM16" s="18"/>
      <c r="DN16" s="18"/>
      <c r="DO16" s="18"/>
      <c r="DP16" s="18"/>
      <c r="DQ16" s="18"/>
      <c r="DR16" s="11">
        <f>BN6</f>
        <v>3</v>
      </c>
      <c r="DS16" s="18"/>
      <c r="DT16" s="18">
        <f>-(2*BR57)</f>
        <v>-4</v>
      </c>
      <c r="DU16" s="18"/>
      <c r="DV16" s="18"/>
      <c r="DX16" s="49"/>
      <c r="DY16" s="18"/>
      <c r="DZ16" s="18"/>
      <c r="EA16" s="18"/>
      <c r="EB16" s="18"/>
      <c r="EC16" s="18"/>
      <c r="ED16" s="18"/>
      <c r="EE16" s="11">
        <f>BN6</f>
        <v>3</v>
      </c>
      <c r="EF16" s="18"/>
      <c r="EG16" s="18">
        <f>-(2*BS62)</f>
        <v>-3.466</v>
      </c>
      <c r="EH16" s="18"/>
      <c r="EI16" s="18"/>
      <c r="EJ16" s="25"/>
      <c r="EK16" s="49"/>
      <c r="EL16" s="18"/>
      <c r="EM16" s="18"/>
      <c r="EN16" s="18"/>
      <c r="EO16" s="18"/>
      <c r="EP16" s="18"/>
      <c r="EQ16" s="18"/>
      <c r="ER16" s="11">
        <f>BN6</f>
        <v>3</v>
      </c>
      <c r="ES16" s="18"/>
      <c r="ET16" s="18">
        <f>-(2*BS68)</f>
        <v>-3.19</v>
      </c>
      <c r="EU16" s="18"/>
      <c r="EV16" s="18"/>
      <c r="EW16" s="25"/>
      <c r="EX16" s="49"/>
      <c r="FP16" s="33">
        <f>-(2*BR57)</f>
        <v>-4</v>
      </c>
      <c r="FR16" s="33">
        <f>ROUND(2*BR57+(TAN(1.783*PI()/180)*BN6/4),3)</f>
        <v>4.023</v>
      </c>
      <c r="FT16" s="33">
        <f>ROUND(BN6/4,3)</f>
        <v>0.75</v>
      </c>
      <c r="FV16" s="33">
        <f>-(2*BR57)</f>
        <v>-4</v>
      </c>
      <c r="FX16" s="33">
        <f>ROUND(TAN(1.783*PI()/180)*BN6/4,3)</f>
        <v>0.023</v>
      </c>
      <c r="GC16" s="33">
        <f>-(2*BS62)</f>
        <v>-3.466</v>
      </c>
      <c r="GE16" s="33">
        <f>ROUND(2*BS62+(TAN(1.783*PI()/180)*BN6/4),3)</f>
        <v>3.489</v>
      </c>
      <c r="GG16" s="33">
        <f>ROUND(BN6/4,3)</f>
        <v>0.75</v>
      </c>
      <c r="GI16" s="33">
        <f>-(2*BS62)</f>
        <v>-3.466</v>
      </c>
      <c r="GK16" s="33">
        <f>ROUND(TAN(1.783*PI()/180)*BN6/4,3)</f>
        <v>0.023</v>
      </c>
      <c r="GP16" s="33">
        <f>-(2*BS68)</f>
        <v>-3.19</v>
      </c>
      <c r="GR16" s="33">
        <f>ROUND(2*BS68+(TAN(1.783*PI()/180)*BN6/4),3)</f>
        <v>3.213</v>
      </c>
      <c r="GT16" s="33">
        <f>ROUND(BN6/4,3)</f>
        <v>0.75</v>
      </c>
      <c r="GV16" s="33">
        <f>-(2*BS68)</f>
        <v>-3.19</v>
      </c>
      <c r="GX16" s="33">
        <f>ROUND(TAN(1.783*PI()/180)*BN6/4,3)</f>
        <v>0.023</v>
      </c>
    </row>
    <row r="17" spans="1:206" ht="15.75" customHeight="1">
      <c r="A17" s="65"/>
      <c r="B17" s="70" t="str">
        <f>I64</f>
        <v>S = safety distance (mm)</v>
      </c>
      <c r="C17" s="74">
        <v>2</v>
      </c>
      <c r="D17" s="72">
        <v>4</v>
      </c>
      <c r="E17" s="118"/>
      <c r="F17" s="64">
        <f>IF(BY45=0,"",BY45)</f>
      </c>
      <c r="G17" s="64"/>
      <c r="H17" s="25">
        <v>1</v>
      </c>
      <c r="I17" s="5" t="str">
        <f>LOOKUP(H$27,J$2:AD$2,J17:AD17)</f>
        <v>M - Metric</v>
      </c>
      <c r="J17" s="87" t="s">
        <v>1039</v>
      </c>
      <c r="K17" s="34" t="s">
        <v>622</v>
      </c>
      <c r="L17" s="34" t="s">
        <v>1218</v>
      </c>
      <c r="M17" s="34" t="s">
        <v>1072</v>
      </c>
      <c r="N17" s="34" t="s">
        <v>1006</v>
      </c>
      <c r="O17" t="s">
        <v>1733</v>
      </c>
      <c r="P17" s="34" t="s">
        <v>413</v>
      </c>
      <c r="Q17" s="34" t="s">
        <v>153</v>
      </c>
      <c r="R17" s="34" t="s">
        <v>1794</v>
      </c>
      <c r="S17" s="34" t="s">
        <v>622</v>
      </c>
      <c r="T17" s="34" t="s">
        <v>707</v>
      </c>
      <c r="U17" s="34" t="s">
        <v>1693</v>
      </c>
      <c r="V17" s="34" t="s">
        <v>1524</v>
      </c>
      <c r="W17" s="34" t="s">
        <v>1072</v>
      </c>
      <c r="X17" s="34" t="s">
        <v>1686</v>
      </c>
      <c r="Y17" s="34" t="s">
        <v>707</v>
      </c>
      <c r="Z17" s="98" t="s">
        <v>1505</v>
      </c>
      <c r="AA17" s="112" t="s">
        <v>1636</v>
      </c>
      <c r="AB17" s="103" t="s">
        <v>409</v>
      </c>
      <c r="AC17" s="120" t="s">
        <v>203</v>
      </c>
      <c r="AD17" s="34" t="s">
        <v>289</v>
      </c>
      <c r="AF17" s="4">
        <v>16</v>
      </c>
      <c r="AG17" s="4">
        <v>1</v>
      </c>
      <c r="AH17" s="4">
        <v>1</v>
      </c>
      <c r="AI17" s="4">
        <v>3</v>
      </c>
      <c r="AJ17" t="s">
        <v>1912</v>
      </c>
      <c r="AK17">
        <v>12</v>
      </c>
      <c r="AL17">
        <v>12</v>
      </c>
      <c r="AM17">
        <v>4</v>
      </c>
      <c r="AN17">
        <v>14</v>
      </c>
      <c r="AO17">
        <v>28.12</v>
      </c>
      <c r="AP17">
        <v>83</v>
      </c>
      <c r="AQ17">
        <v>15.5</v>
      </c>
      <c r="AS17" s="38">
        <f t="shared" si="0"/>
        <v>16</v>
      </c>
      <c r="AT17" s="25" t="b">
        <f t="shared" si="1"/>
        <v>0</v>
      </c>
      <c r="AU17" s="25" t="b">
        <f t="shared" si="2"/>
        <v>0</v>
      </c>
      <c r="AV17" s="25" t="b">
        <f t="shared" si="4"/>
        <v>0</v>
      </c>
      <c r="AW17" s="25" t="b">
        <f t="shared" si="5"/>
        <v>0</v>
      </c>
      <c r="AX17" t="e">
        <f t="shared" si="6"/>
        <v>#N/A</v>
      </c>
      <c r="AY17" s="24" t="e">
        <f t="shared" si="8"/>
        <v>#N/A</v>
      </c>
      <c r="AZ17" t="e">
        <f t="shared" si="3"/>
        <v>#N/A</v>
      </c>
      <c r="BA17" t="b">
        <f t="shared" si="7"/>
        <v>1</v>
      </c>
      <c r="BB17">
        <f>IF(BA17=FALSE,AZ17,"")</f>
      </c>
      <c r="BC17" s="25">
        <v>15</v>
      </c>
      <c r="BD17" s="6">
        <v>90</v>
      </c>
      <c r="BE17" s="8">
        <v>0.8</v>
      </c>
      <c r="BG17" s="10"/>
      <c r="BH17" s="11"/>
      <c r="BJ17" s="14">
        <f t="shared" si="10"/>
        <v>8.543216357716831</v>
      </c>
      <c r="BK17" s="11">
        <f t="shared" si="11"/>
        <v>0.03797498335832414</v>
      </c>
      <c r="BM17" s="10"/>
      <c r="BN17" s="10">
        <f>278*C14/C30</f>
        <v>14.286937901498929</v>
      </c>
      <c r="BQ17" s="25">
        <v>8</v>
      </c>
      <c r="BR17" s="35">
        <f>BR16+BR7</f>
        <v>274.501</v>
      </c>
      <c r="BU17" s="33">
        <v>10121</v>
      </c>
      <c r="BV17" s="33">
        <f t="shared" si="23"/>
        <v>0</v>
      </c>
      <c r="BX17" s="39"/>
      <c r="BY17" s="45"/>
      <c r="BZ17" s="45"/>
      <c r="CL17" s="44"/>
      <c r="DR17" s="25">
        <f>INT(DR16)</f>
        <v>3</v>
      </c>
      <c r="DT17" s="25">
        <f>INT(DT16)</f>
        <v>-4</v>
      </c>
      <c r="DX17" s="46"/>
      <c r="DY17"/>
      <c r="DZ17"/>
      <c r="EA17"/>
      <c r="EB17"/>
      <c r="EC17"/>
      <c r="ED17"/>
      <c r="EE17" s="25">
        <f>INT(EE16)</f>
        <v>3</v>
      </c>
      <c r="EF17"/>
      <c r="EG17" s="25">
        <f>INT(EG16)</f>
        <v>-4</v>
      </c>
      <c r="EH17"/>
      <c r="EI17"/>
      <c r="EJ17" s="25"/>
      <c r="ER17" s="25">
        <f>INT(ER16)</f>
        <v>3</v>
      </c>
      <c r="ET17" s="25">
        <f>INT(ET16)</f>
        <v>-4</v>
      </c>
      <c r="EW17" s="25"/>
      <c r="FP17" s="25">
        <f>INT(FP16)</f>
        <v>-4</v>
      </c>
      <c r="FR17" s="25">
        <f>INT(FR16)</f>
        <v>4</v>
      </c>
      <c r="FT17" s="25">
        <f>INT(FT16)</f>
        <v>0</v>
      </c>
      <c r="FV17" s="25">
        <f>INT(FV16)</f>
        <v>-4</v>
      </c>
      <c r="FX17" s="25">
        <f>INT(FX16)</f>
        <v>0</v>
      </c>
      <c r="GC17" s="25">
        <f>INT(GC16)</f>
        <v>-4</v>
      </c>
      <c r="GE17" s="25">
        <f>INT(GE16)</f>
        <v>3</v>
      </c>
      <c r="GG17" s="25">
        <f>INT(GG16)</f>
        <v>0</v>
      </c>
      <c r="GI17" s="25">
        <f>INT(GI16)</f>
        <v>-4</v>
      </c>
      <c r="GK17" s="25">
        <f>INT(GK16)</f>
        <v>0</v>
      </c>
      <c r="GP17" s="25">
        <f>INT(GP16)</f>
        <v>-4</v>
      </c>
      <c r="GR17" s="25">
        <f>INT(GR16)</f>
        <v>3</v>
      </c>
      <c r="GT17" s="25">
        <f>INT(GT16)</f>
        <v>0</v>
      </c>
      <c r="GV17" s="25">
        <f>INT(GV16)</f>
        <v>-4</v>
      </c>
      <c r="GX17" s="25">
        <f>INT(GX16)</f>
        <v>0</v>
      </c>
    </row>
    <row r="18" spans="1:218" ht="15.75" customHeight="1">
      <c r="A18" s="65"/>
      <c r="B18" s="64"/>
      <c r="C18" s="69"/>
      <c r="D18" s="69"/>
      <c r="E18" s="118"/>
      <c r="F18" s="64">
        <f>IF(BY48=0,"",BY48)</f>
      </c>
      <c r="G18" s="64"/>
      <c r="H18" s="25">
        <v>2</v>
      </c>
      <c r="I18" s="5" t="str">
        <f aca="true" t="shared" si="24" ref="I18:I23">LOOKUP(H$27,J$2:AD$2,J18:AD18)</f>
        <v>UN - Unified</v>
      </c>
      <c r="J18" s="87" t="s">
        <v>667</v>
      </c>
      <c r="K18" s="34" t="s">
        <v>667</v>
      </c>
      <c r="L18" s="34" t="s">
        <v>1294</v>
      </c>
      <c r="M18" s="34" t="s">
        <v>667</v>
      </c>
      <c r="N18" s="34" t="s">
        <v>667</v>
      </c>
      <c r="O18" s="34" t="s">
        <v>667</v>
      </c>
      <c r="P18" s="34" t="s">
        <v>414</v>
      </c>
      <c r="Q18" s="34" t="s">
        <v>154</v>
      </c>
      <c r="R18" s="34" t="s">
        <v>1795</v>
      </c>
      <c r="S18" s="34" t="s">
        <v>667</v>
      </c>
      <c r="T18" s="34" t="s">
        <v>667</v>
      </c>
      <c r="U18" s="34" t="s">
        <v>1694</v>
      </c>
      <c r="V18" s="34" t="s">
        <v>667</v>
      </c>
      <c r="W18" s="34" t="s">
        <v>618</v>
      </c>
      <c r="X18" s="34" t="s">
        <v>1687</v>
      </c>
      <c r="Y18" s="34" t="s">
        <v>667</v>
      </c>
      <c r="Z18" s="98" t="s">
        <v>1577</v>
      </c>
      <c r="AA18" s="112" t="s">
        <v>1637</v>
      </c>
      <c r="AB18" s="103" t="s">
        <v>410</v>
      </c>
      <c r="AC18" s="120" t="s">
        <v>204</v>
      </c>
      <c r="AD18" s="34" t="s">
        <v>290</v>
      </c>
      <c r="AF18" s="4">
        <v>17</v>
      </c>
      <c r="AG18" s="4">
        <v>2</v>
      </c>
      <c r="AH18" s="4">
        <v>4</v>
      </c>
      <c r="AI18" s="4">
        <v>6</v>
      </c>
      <c r="AJ18" t="s">
        <v>1913</v>
      </c>
      <c r="AK18">
        <v>12</v>
      </c>
      <c r="AL18">
        <v>12</v>
      </c>
      <c r="AM18">
        <v>4</v>
      </c>
      <c r="AN18">
        <v>14</v>
      </c>
      <c r="AO18">
        <v>22.68</v>
      </c>
      <c r="AP18">
        <v>83</v>
      </c>
      <c r="AQ18">
        <v>15.2</v>
      </c>
      <c r="AS18" s="38">
        <f t="shared" si="0"/>
        <v>17</v>
      </c>
      <c r="AT18" s="25" t="b">
        <f t="shared" si="1"/>
        <v>0</v>
      </c>
      <c r="AU18" s="25" t="b">
        <f t="shared" si="2"/>
        <v>0</v>
      </c>
      <c r="AV18" s="25" t="b">
        <f t="shared" si="4"/>
        <v>0</v>
      </c>
      <c r="AW18" s="25" t="b">
        <f t="shared" si="5"/>
        <v>0</v>
      </c>
      <c r="AX18" t="e">
        <f t="shared" si="6"/>
        <v>#N/A</v>
      </c>
      <c r="AY18" s="24" t="e">
        <f t="shared" si="8"/>
        <v>#N/A</v>
      </c>
      <c r="AZ18" t="e">
        <f t="shared" si="3"/>
        <v>#N/A</v>
      </c>
      <c r="BA18" t="b">
        <f t="shared" si="7"/>
        <v>1</v>
      </c>
      <c r="BB18">
        <f>IF(BA18=FALSE,AZ18,"")</f>
      </c>
      <c r="BC18" s="25">
        <v>16</v>
      </c>
      <c r="BD18" s="6">
        <v>63</v>
      </c>
      <c r="BE18" s="8">
        <v>0.8</v>
      </c>
      <c r="BG18" s="10"/>
      <c r="BH18" s="11"/>
      <c r="BJ18" s="14">
        <f t="shared" si="10"/>
        <v>9.482970157065683</v>
      </c>
      <c r="BK18" s="11">
        <f t="shared" si="11"/>
        <v>0.04177248169415655</v>
      </c>
      <c r="BM18" s="10"/>
      <c r="BN18" s="10">
        <f>ROUND(BN17,1)</f>
        <v>14.3</v>
      </c>
      <c r="BQ18" s="25">
        <v>9</v>
      </c>
      <c r="BR18" s="35">
        <f>BR17+BR7</f>
        <v>313.501</v>
      </c>
      <c r="BU18" s="33">
        <v>10122</v>
      </c>
      <c r="BV18" s="33">
        <f t="shared" si="23"/>
        <v>0</v>
      </c>
      <c r="BX18" s="39">
        <v>5</v>
      </c>
      <c r="BY18" s="45" t="str">
        <f>LOOKUP(BV$54,BZ$5:DJ$5,BZ18:DJ18)</f>
        <v>G03 X0. Y0. Z3. I-4. J0.</v>
      </c>
      <c r="BZ18" s="45"/>
      <c r="CA18" s="44" t="str">
        <f>CONCATENATE(DL18,DM18,DN18,DO18,DP18,DQ18,DR18,DS18,DT18,DU18,DV18,DW18)</f>
        <v>G03 X0. Y0. Z3. I-4. J0.</v>
      </c>
      <c r="CB18" s="44" t="str">
        <f>CONCATENATE(BX18,DL85,DM85)</f>
        <v>5 CC IX+0 IY+2</v>
      </c>
      <c r="CC18" s="44" t="str">
        <f>CONCATENATE(DY18,DZ18,EA18,EB18,EC18,ED18,EE18,EF18,EG18,EH18,EI18,EJ18)</f>
        <v>G03 X0. Y0. Z3. I-3.466 J0.</v>
      </c>
      <c r="CD18" s="44" t="str">
        <f>CONCATENATE(BX18,DY85,DZ85)</f>
        <v>5 CC IX+0 IY+1.733</v>
      </c>
      <c r="CE18" s="44" t="str">
        <f>CONCATENATE(EL18,EM18,EN18,EO18,EP18,EQ18,ER18,ES18,ET18,EU18,EV18,EW18)</f>
        <v>G03 X0. Y0. Z3. I-3.19 J0.</v>
      </c>
      <c r="CF18" s="44" t="str">
        <f>CONCATENATE(BX18,EL85,EM85)</f>
        <v>5 CC IX+0 IY+1.595</v>
      </c>
      <c r="CG18" s="44" t="str">
        <f>EY18</f>
        <v>WHILE[#2LT#1]DO1</v>
      </c>
      <c r="CH18" s="44" t="str">
        <f>CONCATENATE(BX18,EY85)</f>
        <v>5 FN 0: Q2 =+0</v>
      </c>
      <c r="CI18" s="44" t="str">
        <f>CG18</f>
        <v>WHILE[#2LT#1]DO1</v>
      </c>
      <c r="CJ18" s="44" t="str">
        <f>CH18</f>
        <v>5 FN 0: Q2 =+0</v>
      </c>
      <c r="CK18" s="4" t="str">
        <f>CG18</f>
        <v>WHILE[#2LT#1]DO1</v>
      </c>
      <c r="CL18" s="4" t="str">
        <f>CH18</f>
        <v>5 FN 0: Q2 =+0</v>
      </c>
      <c r="CM18" s="4" t="str">
        <f>CONCATENATE(FD18,FE18)</f>
        <v>#1=12</v>
      </c>
      <c r="CN18" s="44" t="str">
        <f>CB18</f>
        <v>5 CC IX+0 IY+2</v>
      </c>
      <c r="CO18" s="44" t="str">
        <f>CM18</f>
        <v>#1=12</v>
      </c>
      <c r="CP18" s="44" t="str">
        <f>CD18</f>
        <v>5 CC IX+0 IY+1.733</v>
      </c>
      <c r="CQ18" s="44" t="str">
        <f>CO18</f>
        <v>#1=12</v>
      </c>
      <c r="CR18" s="152" t="str">
        <f>CF18</f>
        <v>5 CC IX+0 IY+1.595</v>
      </c>
      <c r="CS18" s="44" t="str">
        <f>CONCATENATE(FN18,FO18,FP18,FQ18,FR18,FS18,FT18,FU18,FV18,FW18,FX18,FY18)</f>
        <v>G03 X-4. Y4.023 Z0.75 I-4. J0.023</v>
      </c>
      <c r="CT18" s="152" t="str">
        <f>CB18</f>
        <v>5 CC IX+0 IY+2</v>
      </c>
      <c r="CU18" s="44" t="str">
        <f>CONCATENATE(GA18,GB18,GC18,GD18,GE18,GF18,GG18,GH18,GI18,GJ18,GK18,GL18)</f>
        <v>G03 X-3.466 Y3.489 Z0.75 I-3.466 J0.023</v>
      </c>
      <c r="CV18" s="152" t="str">
        <f>CD18</f>
        <v>5 CC IX+0 IY+1.733</v>
      </c>
      <c r="CW18" s="44" t="str">
        <f>CONCATENATE(GN18,GO18,GP18,GQ18,GR18,GS18,GT18,GU18,GV18,GW18,GX18,GY18)</f>
        <v>G03 X-3.19 Y3.213 Z0.75 I-3.19 J0.023</v>
      </c>
      <c r="CX18" s="152" t="str">
        <f>CF18</f>
        <v>5 CC IX+0 IY+1.595</v>
      </c>
      <c r="CY18" s="44" t="str">
        <f>CONCATENATE(DL15,DM15,DN15,HA15,DP15,DQ15,DR15,DS15,DT15,DU15,DV15,DW15)</f>
        <v>G03 X2. C2. Z0.375 I0. J2.</v>
      </c>
      <c r="CZ18" s="44" t="str">
        <f>CONCATENATE(DY15,DZ15,EA15,HC15,EC15,ED15,EE15,EF15,EG15,EH15,EI15,EJ15)</f>
        <v>G03 X1.733 C1.733 Z0.375 I0. J1.733</v>
      </c>
      <c r="DA18" s="44" t="str">
        <f>CONCATENATE(EL15,EM15,EN15,HE15,EP15,EQ15,ER15,ES15,ET15,EU15,EV15,EW15)</f>
        <v>G03 X1.595 C1.595 Z0.375 I0. J1.595</v>
      </c>
      <c r="DB18" s="44" t="str">
        <f>CG15</f>
        <v>#2=0</v>
      </c>
      <c r="DC18" s="44" t="str">
        <f>DB18</f>
        <v>#2=0</v>
      </c>
      <c r="DD18" s="44" t="str">
        <f>DB18</f>
        <v>#2=0</v>
      </c>
      <c r="DE18" s="44" t="str">
        <f>CY18</f>
        <v>G03 X2. C2. Z0.375 I0. J2.</v>
      </c>
      <c r="DF18" s="44" t="str">
        <f>CZ18</f>
        <v>G03 X1.733 C1.733 Z0.375 I0. J1.733</v>
      </c>
      <c r="DG18" s="44" t="str">
        <f>DA18</f>
        <v>G03 X1.595 C1.595 Z0.375 I0. J1.595</v>
      </c>
      <c r="DH18" s="44" t="str">
        <f>CY18</f>
        <v>G03 X2. C2. Z0.375 I0. J2.</v>
      </c>
      <c r="DI18" s="44" t="str">
        <f>CZ18</f>
        <v>G03 X1.733 C1.733 Z0.375 I0. J1.733</v>
      </c>
      <c r="DJ18" s="44" t="str">
        <f>DA18</f>
        <v>G03 X1.595 C1.595 Z0.375 I0. J1.595</v>
      </c>
      <c r="DK18" s="49">
        <v>5</v>
      </c>
      <c r="DL18" s="18" t="s">
        <v>585</v>
      </c>
      <c r="DM18" s="18" t="s">
        <v>584</v>
      </c>
      <c r="DN18" s="18">
        <v>0</v>
      </c>
      <c r="DO18" s="18" t="s">
        <v>590</v>
      </c>
      <c r="DP18" s="18">
        <v>0</v>
      </c>
      <c r="DQ18" s="18" t="s">
        <v>591</v>
      </c>
      <c r="DR18" s="18" t="str">
        <f>SUBSTITUTE(DR16,",",".")</f>
        <v>3</v>
      </c>
      <c r="DS18" s="18" t="str">
        <f>IF(DR16=DR17,". I"," I")</f>
        <v>. I</v>
      </c>
      <c r="DT18" s="18" t="str">
        <f>SUBSTITUTE(DT16,",",".")</f>
        <v>-4</v>
      </c>
      <c r="DU18" s="18" t="str">
        <f>IF(DT16=DT17,". J"," J")</f>
        <v>. J</v>
      </c>
      <c r="DV18" s="18">
        <v>0</v>
      </c>
      <c r="DW18" s="25" t="s">
        <v>1070</v>
      </c>
      <c r="DX18" s="49">
        <v>5</v>
      </c>
      <c r="DY18" s="18" t="s">
        <v>585</v>
      </c>
      <c r="DZ18" s="18" t="s">
        <v>584</v>
      </c>
      <c r="EA18" s="18">
        <v>0</v>
      </c>
      <c r="EB18" s="18" t="s">
        <v>590</v>
      </c>
      <c r="EC18" s="18">
        <v>0</v>
      </c>
      <c r="ED18" s="18" t="s">
        <v>591</v>
      </c>
      <c r="EE18" s="18" t="str">
        <f>SUBSTITUTE(EE16,",",".")</f>
        <v>3</v>
      </c>
      <c r="EF18" s="18" t="str">
        <f>IF(EE16=EE17,". I"," I")</f>
        <v>. I</v>
      </c>
      <c r="EG18" s="18" t="str">
        <f>SUBSTITUTE(EG16,",",".")</f>
        <v>-3.466</v>
      </c>
      <c r="EH18" s="18" t="str">
        <f>IF(EG16=EG17,". J"," J")</f>
        <v> J</v>
      </c>
      <c r="EI18" s="18">
        <v>0</v>
      </c>
      <c r="EJ18" s="25" t="s">
        <v>1070</v>
      </c>
      <c r="EK18" s="49">
        <v>5</v>
      </c>
      <c r="EL18" s="18" t="s">
        <v>585</v>
      </c>
      <c r="EM18" s="18" t="s">
        <v>584</v>
      </c>
      <c r="EN18" s="18">
        <v>0</v>
      </c>
      <c r="EO18" s="18" t="s">
        <v>590</v>
      </c>
      <c r="EP18" s="18">
        <v>0</v>
      </c>
      <c r="EQ18" s="18" t="s">
        <v>591</v>
      </c>
      <c r="ER18" s="18" t="str">
        <f>SUBSTITUTE(ER16,",",".")</f>
        <v>3</v>
      </c>
      <c r="ES18" s="18" t="str">
        <f>IF(ER16=ER17,". I"," I")</f>
        <v>. I</v>
      </c>
      <c r="ET18" s="18" t="str">
        <f>SUBSTITUTE(ET16,",",".")</f>
        <v>-3.19</v>
      </c>
      <c r="EU18" s="18" t="str">
        <f>IF(ET16=ET17,". J"," J")</f>
        <v> J</v>
      </c>
      <c r="EV18" s="18">
        <v>0</v>
      </c>
      <c r="EW18" s="25" t="s">
        <v>1070</v>
      </c>
      <c r="EX18" s="49">
        <v>5</v>
      </c>
      <c r="EY18" s="151" t="s">
        <v>879</v>
      </c>
      <c r="FC18" s="49">
        <v>5</v>
      </c>
      <c r="FD18" s="18" t="s">
        <v>759</v>
      </c>
      <c r="FE18" s="33">
        <f>BR48</f>
        <v>12</v>
      </c>
      <c r="FM18" s="49">
        <v>5</v>
      </c>
      <c r="FN18" s="33" t="s">
        <v>585</v>
      </c>
      <c r="FO18" s="33" t="s">
        <v>584</v>
      </c>
      <c r="FP18" s="18" t="str">
        <f>SUBSTITUTE(FP16,",",".")</f>
        <v>-4</v>
      </c>
      <c r="FQ18" s="18" t="str">
        <f>IF(FP16=FP17,". Y"," Y")</f>
        <v>. Y</v>
      </c>
      <c r="FR18" s="18" t="str">
        <f>SUBSTITUTE(FR16,",",".")</f>
        <v>4.023</v>
      </c>
      <c r="FS18" s="18" t="str">
        <f>IF(FR16=FR17,". Z"," Z")</f>
        <v> Z</v>
      </c>
      <c r="FT18" s="18" t="str">
        <f>SUBSTITUTE(FT16,",",".")</f>
        <v>0.75</v>
      </c>
      <c r="FU18" s="18" t="str">
        <f>IF(FT16=FT17,". I"," I")</f>
        <v> I</v>
      </c>
      <c r="FV18" s="18" t="str">
        <f>SUBSTITUTE(FV16,",",".")</f>
        <v>-4</v>
      </c>
      <c r="FW18" s="18" t="str">
        <f>IF(FV16=FV17,". J"," J")</f>
        <v>. J</v>
      </c>
      <c r="FX18" s="18" t="str">
        <f>SUBSTITUTE(FX16,",",".")</f>
        <v>0.023</v>
      </c>
      <c r="FY18" s="18">
        <f>IF(FX16=FX17,".","")</f>
      </c>
      <c r="FZ18" s="49">
        <v>5</v>
      </c>
      <c r="GA18" s="33" t="s">
        <v>585</v>
      </c>
      <c r="GB18" s="33" t="s">
        <v>584</v>
      </c>
      <c r="GC18" s="18" t="str">
        <f>SUBSTITUTE(GC16,",",".")</f>
        <v>-3.466</v>
      </c>
      <c r="GD18" s="18" t="str">
        <f>IF(GC16=GC17,". Y"," Y")</f>
        <v> Y</v>
      </c>
      <c r="GE18" s="18" t="str">
        <f>SUBSTITUTE(GE16,",",".")</f>
        <v>3.489</v>
      </c>
      <c r="GF18" s="18" t="str">
        <f>IF(GE16=GE17,". Z"," Z")</f>
        <v> Z</v>
      </c>
      <c r="GG18" s="18" t="str">
        <f>SUBSTITUTE(GG16,",",".")</f>
        <v>0.75</v>
      </c>
      <c r="GH18" s="18" t="str">
        <f>IF(GG16=GG17,". I"," I")</f>
        <v> I</v>
      </c>
      <c r="GI18" s="18" t="str">
        <f>SUBSTITUTE(GI16,",",".")</f>
        <v>-3.466</v>
      </c>
      <c r="GJ18" s="18" t="str">
        <f>IF(GI16=GI17,". J"," J")</f>
        <v> J</v>
      </c>
      <c r="GK18" s="18" t="str">
        <f>SUBSTITUTE(GK16,",",".")</f>
        <v>0.023</v>
      </c>
      <c r="GL18" s="18">
        <f>IF(GK16=GK17,".","")</f>
      </c>
      <c r="GM18" s="49">
        <v>5</v>
      </c>
      <c r="GN18" s="33" t="s">
        <v>585</v>
      </c>
      <c r="GO18" s="33" t="s">
        <v>584</v>
      </c>
      <c r="GP18" s="18" t="str">
        <f>SUBSTITUTE(GP16,",",".")</f>
        <v>-3.19</v>
      </c>
      <c r="GQ18" s="18" t="str">
        <f>IF(GP16=GP17,". Y"," Y")</f>
        <v> Y</v>
      </c>
      <c r="GR18" s="18" t="str">
        <f>SUBSTITUTE(GR16,",",".")</f>
        <v>3.213</v>
      </c>
      <c r="GS18" s="18" t="str">
        <f>IF(GR16=GR17,". Z"," Z")</f>
        <v> Z</v>
      </c>
      <c r="GT18" s="18" t="str">
        <f>SUBSTITUTE(GT16,",",".")</f>
        <v>0.75</v>
      </c>
      <c r="GU18" s="18" t="str">
        <f>IF(GT16=GT17,". I"," I")</f>
        <v> I</v>
      </c>
      <c r="GV18" s="18" t="str">
        <f>SUBSTITUTE(GV16,",",".")</f>
        <v>-3.19</v>
      </c>
      <c r="GW18" s="18" t="str">
        <f>IF(GV16=GV17,". J"," J")</f>
        <v> J</v>
      </c>
      <c r="GX18" s="18" t="str">
        <f>SUBSTITUTE(GX16,",",".")</f>
        <v>0.023</v>
      </c>
      <c r="GY18" s="18">
        <f>IF(GX16=GX17,".","")</f>
      </c>
      <c r="HJ18" s="49"/>
    </row>
    <row r="19" spans="1:206" ht="15.75" customHeight="1">
      <c r="A19" s="65"/>
      <c r="B19" s="64"/>
      <c r="C19" s="69"/>
      <c r="D19" s="69"/>
      <c r="E19" s="118"/>
      <c r="F19" s="64">
        <f>IF(BY51=0,"",BY51)</f>
      </c>
      <c r="G19" s="64"/>
      <c r="H19" s="25">
        <v>3</v>
      </c>
      <c r="I19" s="5" t="str">
        <f t="shared" si="24"/>
        <v>G - Whitworth Pipe Thread</v>
      </c>
      <c r="J19" s="87" t="s">
        <v>1494</v>
      </c>
      <c r="K19" s="34" t="s">
        <v>1495</v>
      </c>
      <c r="L19" s="34" t="s">
        <v>1496</v>
      </c>
      <c r="M19" s="34" t="s">
        <v>1497</v>
      </c>
      <c r="N19" s="34" t="s">
        <v>1498</v>
      </c>
      <c r="O19" t="s">
        <v>1734</v>
      </c>
      <c r="P19" s="34" t="s">
        <v>415</v>
      </c>
      <c r="Q19" s="34" t="s">
        <v>159</v>
      </c>
      <c r="R19" s="34" t="s">
        <v>1796</v>
      </c>
      <c r="S19" s="34" t="s">
        <v>1499</v>
      </c>
      <c r="T19" s="34" t="s">
        <v>1506</v>
      </c>
      <c r="U19" s="34" t="s">
        <v>1695</v>
      </c>
      <c r="V19" s="34" t="s">
        <v>1500</v>
      </c>
      <c r="W19" s="34" t="s">
        <v>1501</v>
      </c>
      <c r="X19" s="34" t="s">
        <v>1685</v>
      </c>
      <c r="Y19" s="34" t="s">
        <v>1402</v>
      </c>
      <c r="Z19" s="98" t="s">
        <v>1578</v>
      </c>
      <c r="AA19" s="112" t="s">
        <v>1638</v>
      </c>
      <c r="AB19" s="103" t="s">
        <v>419</v>
      </c>
      <c r="AC19" s="120" t="s">
        <v>205</v>
      </c>
      <c r="AD19" s="34" t="s">
        <v>291</v>
      </c>
      <c r="AF19" s="4">
        <v>18</v>
      </c>
      <c r="AG19" s="4">
        <v>2</v>
      </c>
      <c r="AH19" s="4">
        <v>4</v>
      </c>
      <c r="AI19" s="4">
        <v>5</v>
      </c>
      <c r="AJ19" t="s">
        <v>1914</v>
      </c>
      <c r="AK19">
        <v>12</v>
      </c>
      <c r="AL19">
        <v>12</v>
      </c>
      <c r="AM19">
        <v>4</v>
      </c>
      <c r="AN19">
        <v>14</v>
      </c>
      <c r="AO19">
        <v>22.68</v>
      </c>
      <c r="AP19">
        <v>83</v>
      </c>
      <c r="AQ19">
        <v>15.2</v>
      </c>
      <c r="AS19" s="38">
        <f t="shared" si="0"/>
        <v>18</v>
      </c>
      <c r="AT19" s="25" t="b">
        <f t="shared" si="1"/>
        <v>0</v>
      </c>
      <c r="AU19" s="25" t="b">
        <f t="shared" si="2"/>
        <v>0</v>
      </c>
      <c r="AV19" s="25" t="b">
        <f t="shared" si="4"/>
        <v>0</v>
      </c>
      <c r="AW19" s="25" t="b">
        <f t="shared" si="5"/>
        <v>0</v>
      </c>
      <c r="AX19" t="e">
        <f t="shared" si="6"/>
        <v>#N/A</v>
      </c>
      <c r="AY19" s="24" t="e">
        <f t="shared" si="8"/>
        <v>#N/A</v>
      </c>
      <c r="AZ19" t="e">
        <f t="shared" si="3"/>
        <v>#N/A</v>
      </c>
      <c r="BA19" t="b">
        <f t="shared" si="7"/>
        <v>1</v>
      </c>
      <c r="BB19">
        <f>IF(BA19=FALSE,AZ19,"")</f>
      </c>
      <c r="BC19" s="25">
        <v>17</v>
      </c>
      <c r="BD19" s="6">
        <v>55</v>
      </c>
      <c r="BE19" s="8">
        <v>0.7</v>
      </c>
      <c r="BG19" s="10"/>
      <c r="BH19" s="11"/>
      <c r="BJ19" s="14">
        <f t="shared" si="10"/>
        <v>10.52609687434291</v>
      </c>
      <c r="BK19" s="11">
        <f t="shared" si="11"/>
        <v>0.04594972986357221</v>
      </c>
      <c r="BM19" s="10"/>
      <c r="BN19" s="10">
        <f>ROUND(BN17,0)</f>
        <v>14</v>
      </c>
      <c r="BQ19" s="25">
        <v>10</v>
      </c>
      <c r="BR19" s="35">
        <f>BR18+BR7</f>
        <v>352.501</v>
      </c>
      <c r="BU19" s="33">
        <v>10131</v>
      </c>
      <c r="BV19" s="33">
        <f t="shared" si="23"/>
        <v>0</v>
      </c>
      <c r="BX19" s="39"/>
      <c r="BY19" s="45"/>
      <c r="BZ19" s="45"/>
      <c r="CL19" s="44"/>
      <c r="DK19" s="49"/>
      <c r="DL19" s="18"/>
      <c r="DM19" s="18"/>
      <c r="DN19" s="18">
        <f>-BR57</f>
        <v>-2</v>
      </c>
      <c r="DO19" s="18"/>
      <c r="DP19" s="18">
        <f>BR57</f>
        <v>2</v>
      </c>
      <c r="DQ19" s="18"/>
      <c r="DR19" s="18">
        <f>ROUND(BN6/8,3)</f>
        <v>0.375</v>
      </c>
      <c r="DS19" s="18"/>
      <c r="DT19" s="18">
        <f>-BR57</f>
        <v>-2</v>
      </c>
      <c r="DU19" s="18"/>
      <c r="DV19" s="18"/>
      <c r="DX19" s="49"/>
      <c r="DY19" s="18"/>
      <c r="DZ19" s="18"/>
      <c r="EA19" s="18">
        <f>-BS62</f>
        <v>-1.733</v>
      </c>
      <c r="EB19" s="18"/>
      <c r="EC19" s="18">
        <f>BS62</f>
        <v>1.733</v>
      </c>
      <c r="ED19" s="18"/>
      <c r="EE19" s="18">
        <f>ROUND(BN6/8,3)</f>
        <v>0.375</v>
      </c>
      <c r="EF19" s="18"/>
      <c r="EG19" s="18">
        <f>-BS62</f>
        <v>-1.733</v>
      </c>
      <c r="EH19" s="18"/>
      <c r="EI19" s="18"/>
      <c r="EJ19" s="25"/>
      <c r="EK19" s="49"/>
      <c r="EL19" s="18"/>
      <c r="EM19" s="18"/>
      <c r="EN19" s="18">
        <f>-BS68</f>
        <v>-1.595</v>
      </c>
      <c r="EO19" s="18"/>
      <c r="EP19" s="18">
        <f>BS68</f>
        <v>1.595</v>
      </c>
      <c r="EQ19" s="18"/>
      <c r="ER19" s="18">
        <f>ROUND(BN6/8,3)</f>
        <v>0.375</v>
      </c>
      <c r="ES19" s="18"/>
      <c r="ET19" s="18">
        <f>-BS68</f>
        <v>-1.595</v>
      </c>
      <c r="EU19" s="18"/>
      <c r="EV19" s="18"/>
      <c r="EW19" s="25"/>
      <c r="EX19" s="49"/>
      <c r="FP19" s="33">
        <f>-(FR16+FX16)</f>
        <v>-4.045999999999999</v>
      </c>
      <c r="FR19" s="33">
        <f>-FR16</f>
        <v>-4.023</v>
      </c>
      <c r="FT19" s="33">
        <f>FT16</f>
        <v>0.75</v>
      </c>
      <c r="FV19" s="33">
        <f>-FX16</f>
        <v>-0.023</v>
      </c>
      <c r="FX19" s="33">
        <f>FR19</f>
        <v>-4.023</v>
      </c>
      <c r="GC19" s="33">
        <f>-(GE16+GK16)</f>
        <v>-3.512</v>
      </c>
      <c r="GE19" s="33">
        <f>-GE16</f>
        <v>-3.489</v>
      </c>
      <c r="GG19" s="33">
        <f>GG16</f>
        <v>0.75</v>
      </c>
      <c r="GI19" s="33">
        <f>-GK16</f>
        <v>-0.023</v>
      </c>
      <c r="GK19" s="33">
        <f>GE19</f>
        <v>-3.489</v>
      </c>
      <c r="GP19" s="33">
        <f>-(GR16+GX16)</f>
        <v>-3.236</v>
      </c>
      <c r="GR19" s="33">
        <f>-GR16</f>
        <v>-3.213</v>
      </c>
      <c r="GT19" s="33">
        <f>GT16</f>
        <v>0.75</v>
      </c>
      <c r="GV19" s="33">
        <f>-GX16</f>
        <v>-0.023</v>
      </c>
      <c r="GX19" s="33">
        <f>GR19</f>
        <v>-3.213</v>
      </c>
    </row>
    <row r="20" spans="1:206" ht="15.75" customHeight="1">
      <c r="A20" s="65"/>
      <c r="B20" s="64"/>
      <c r="C20" s="69"/>
      <c r="D20" s="69"/>
      <c r="E20" s="118"/>
      <c r="F20" s="64">
        <f>IF(BY54=0,"",BY54)</f>
      </c>
      <c r="G20" s="64"/>
      <c r="H20" s="25">
        <v>4</v>
      </c>
      <c r="I20" s="5" t="str">
        <f t="shared" si="24"/>
        <v>BSPT - Tapered Pipe Thread</v>
      </c>
      <c r="J20" s="87" t="s">
        <v>1040</v>
      </c>
      <c r="K20" s="34" t="s">
        <v>766</v>
      </c>
      <c r="L20" s="34" t="s">
        <v>1295</v>
      </c>
      <c r="M20" s="34" t="s">
        <v>769</v>
      </c>
      <c r="N20" s="34" t="s">
        <v>767</v>
      </c>
      <c r="O20" t="s">
        <v>1735</v>
      </c>
      <c r="P20" s="34" t="s">
        <v>416</v>
      </c>
      <c r="Q20" s="34" t="s">
        <v>155</v>
      </c>
      <c r="R20" s="34" t="s">
        <v>1797</v>
      </c>
      <c r="S20" s="34" t="s">
        <v>1269</v>
      </c>
      <c r="T20" s="34" t="s">
        <v>1507</v>
      </c>
      <c r="U20" s="34" t="s">
        <v>1696</v>
      </c>
      <c r="V20" s="34" t="s">
        <v>1525</v>
      </c>
      <c r="W20" s="34" t="s">
        <v>544</v>
      </c>
      <c r="X20" s="34" t="s">
        <v>1688</v>
      </c>
      <c r="Y20" s="34" t="s">
        <v>596</v>
      </c>
      <c r="Z20" s="98" t="s">
        <v>1579</v>
      </c>
      <c r="AA20" s="112" t="s">
        <v>1639</v>
      </c>
      <c r="AB20" s="103" t="s">
        <v>494</v>
      </c>
      <c r="AC20" s="120" t="s">
        <v>206</v>
      </c>
      <c r="AD20" s="34" t="s">
        <v>292</v>
      </c>
      <c r="AF20" s="4">
        <v>19</v>
      </c>
      <c r="AG20" s="4">
        <v>1</v>
      </c>
      <c r="AH20" s="4">
        <v>1</v>
      </c>
      <c r="AI20" s="4">
        <v>7</v>
      </c>
      <c r="AJ20" t="s">
        <v>1915</v>
      </c>
      <c r="AK20">
        <v>12</v>
      </c>
      <c r="AL20">
        <v>12</v>
      </c>
      <c r="AM20">
        <v>4</v>
      </c>
      <c r="AN20">
        <v>14</v>
      </c>
      <c r="AO20">
        <v>22.68</v>
      </c>
      <c r="AP20">
        <v>83</v>
      </c>
      <c r="AQ20">
        <v>15.2</v>
      </c>
      <c r="AS20" s="38">
        <f t="shared" si="0"/>
        <v>19</v>
      </c>
      <c r="AT20" s="25" t="b">
        <f t="shared" si="1"/>
        <v>0</v>
      </c>
      <c r="AU20" s="25" t="b">
        <f t="shared" si="2"/>
        <v>0</v>
      </c>
      <c r="AV20" s="25" t="b">
        <f t="shared" si="4"/>
        <v>0</v>
      </c>
      <c r="AW20" s="25" t="b">
        <f t="shared" si="5"/>
        <v>0</v>
      </c>
      <c r="AX20" t="e">
        <f t="shared" si="6"/>
        <v>#N/A</v>
      </c>
      <c r="AY20" s="24" t="e">
        <f t="shared" si="8"/>
        <v>#N/A</v>
      </c>
      <c r="AZ20" t="e">
        <f t="shared" si="3"/>
        <v>#N/A</v>
      </c>
      <c r="BA20" t="b">
        <f t="shared" si="7"/>
        <v>1</v>
      </c>
      <c r="BB20">
        <f>IF(BA20=FALSE,AZ20,"")</f>
      </c>
      <c r="BC20" s="25">
        <v>18</v>
      </c>
      <c r="BD20" s="6">
        <v>35</v>
      </c>
      <c r="BE20" s="8">
        <v>0.6</v>
      </c>
      <c r="BG20" s="10"/>
      <c r="BH20" s="11"/>
      <c r="BJ20" s="14">
        <f t="shared" si="10"/>
        <v>11.683967530520631</v>
      </c>
      <c r="BK20" s="11">
        <f t="shared" si="11"/>
        <v>0.050544702849929436</v>
      </c>
      <c r="BM20" s="10"/>
      <c r="BN20" s="33"/>
      <c r="BR20" s="35"/>
      <c r="BU20" s="33">
        <v>10132</v>
      </c>
      <c r="BV20" s="33">
        <f t="shared" si="23"/>
        <v>0</v>
      </c>
      <c r="BX20" s="39"/>
      <c r="BY20" s="45"/>
      <c r="BZ20" s="45"/>
      <c r="CL20" s="44"/>
      <c r="DN20" s="25">
        <f>INT(DN19)</f>
        <v>-2</v>
      </c>
      <c r="DP20" s="25">
        <f>INT(DP19)</f>
        <v>2</v>
      </c>
      <c r="DR20" s="25">
        <f>INT(DR19)</f>
        <v>0</v>
      </c>
      <c r="DT20" s="25">
        <f>INT(DT19)</f>
        <v>-2</v>
      </c>
      <c r="DX20" s="46"/>
      <c r="DY20"/>
      <c r="DZ20"/>
      <c r="EA20" s="25">
        <f>INT(EA19)</f>
        <v>-2</v>
      </c>
      <c r="EB20"/>
      <c r="EC20" s="25">
        <f>INT(EC19)</f>
        <v>1</v>
      </c>
      <c r="ED20"/>
      <c r="EE20" s="25">
        <f>INT(EE19)</f>
        <v>0</v>
      </c>
      <c r="EF20"/>
      <c r="EG20" s="25">
        <f>INT(EG19)</f>
        <v>-2</v>
      </c>
      <c r="EH20"/>
      <c r="EI20"/>
      <c r="EJ20" s="25"/>
      <c r="EN20" s="25">
        <f>INT(EN19)</f>
        <v>-2</v>
      </c>
      <c r="EP20" s="25">
        <f>INT(EP19)</f>
        <v>1</v>
      </c>
      <c r="ER20" s="25">
        <f>INT(ER19)</f>
        <v>0</v>
      </c>
      <c r="ET20" s="25">
        <f>INT(ET19)</f>
        <v>-2</v>
      </c>
      <c r="EW20" s="25"/>
      <c r="FP20" s="25">
        <f>INT(FP19)</f>
        <v>-5</v>
      </c>
      <c r="FR20" s="25">
        <f>INT(FR19)</f>
        <v>-5</v>
      </c>
      <c r="FT20" s="25">
        <f>INT(FT19)</f>
        <v>0</v>
      </c>
      <c r="FV20" s="25">
        <f>INT(FV19)</f>
        <v>-1</v>
      </c>
      <c r="FX20" s="25">
        <f>INT(FX19)</f>
        <v>-5</v>
      </c>
      <c r="GC20" s="25">
        <f>INT(GC19)</f>
        <v>-4</v>
      </c>
      <c r="GE20" s="25">
        <f>INT(GE19)</f>
        <v>-4</v>
      </c>
      <c r="GG20" s="25">
        <f>INT(GG19)</f>
        <v>0</v>
      </c>
      <c r="GI20" s="25">
        <f>INT(GI19)</f>
        <v>-1</v>
      </c>
      <c r="GK20" s="25">
        <f>INT(GK19)</f>
        <v>-4</v>
      </c>
      <c r="GP20" s="25">
        <f>INT(GP19)</f>
        <v>-4</v>
      </c>
      <c r="GR20" s="25">
        <f>INT(GR19)</f>
        <v>-4</v>
      </c>
      <c r="GT20" s="25">
        <f>INT(GT19)</f>
        <v>0</v>
      </c>
      <c r="GV20" s="25">
        <f>INT(GV19)</f>
        <v>-1</v>
      </c>
      <c r="GX20" s="25">
        <f>INT(GX19)</f>
        <v>-4</v>
      </c>
    </row>
    <row r="21" spans="1:219" ht="15.75" customHeight="1">
      <c r="A21" s="65"/>
      <c r="B21" s="64"/>
      <c r="C21" s="69"/>
      <c r="D21" s="69"/>
      <c r="E21" s="118"/>
      <c r="F21" s="64">
        <f>IF(BY57=0,"",BY57)</f>
      </c>
      <c r="G21" s="64"/>
      <c r="H21" s="25">
        <v>5</v>
      </c>
      <c r="I21" s="5" t="str">
        <f t="shared" si="24"/>
        <v>NPT - Tapered Pipe Thread</v>
      </c>
      <c r="J21" s="87" t="s">
        <v>1041</v>
      </c>
      <c r="K21" s="34" t="s">
        <v>865</v>
      </c>
      <c r="L21" s="34" t="s">
        <v>1119</v>
      </c>
      <c r="M21" s="34" t="s">
        <v>770</v>
      </c>
      <c r="N21" s="34" t="s">
        <v>768</v>
      </c>
      <c r="O21" t="s">
        <v>1736</v>
      </c>
      <c r="P21" s="34" t="s">
        <v>417</v>
      </c>
      <c r="Q21" s="34" t="s">
        <v>160</v>
      </c>
      <c r="R21" s="34" t="s">
        <v>1798</v>
      </c>
      <c r="S21" s="34" t="s">
        <v>1270</v>
      </c>
      <c r="T21" s="34" t="s">
        <v>1508</v>
      </c>
      <c r="U21" s="34" t="s">
        <v>1697</v>
      </c>
      <c r="V21" s="34" t="s">
        <v>1526</v>
      </c>
      <c r="W21" s="34" t="s">
        <v>545</v>
      </c>
      <c r="X21" s="34" t="s">
        <v>1689</v>
      </c>
      <c r="Y21" s="34" t="s">
        <v>597</v>
      </c>
      <c r="Z21" s="98" t="s">
        <v>1580</v>
      </c>
      <c r="AA21" s="112" t="s">
        <v>1640</v>
      </c>
      <c r="AB21" s="103" t="s">
        <v>495</v>
      </c>
      <c r="AC21" s="120" t="s">
        <v>207</v>
      </c>
      <c r="AD21" s="34" t="s">
        <v>293</v>
      </c>
      <c r="AF21" s="4">
        <v>20</v>
      </c>
      <c r="AG21" s="4">
        <v>1</v>
      </c>
      <c r="AH21" s="4">
        <v>1</v>
      </c>
      <c r="AI21" s="4">
        <v>3</v>
      </c>
      <c r="AJ21" t="s">
        <v>1916</v>
      </c>
      <c r="AK21">
        <v>12</v>
      </c>
      <c r="AL21">
        <v>12</v>
      </c>
      <c r="AM21">
        <v>4</v>
      </c>
      <c r="AN21">
        <v>14</v>
      </c>
      <c r="AO21">
        <v>20.86</v>
      </c>
      <c r="AP21">
        <v>83</v>
      </c>
      <c r="AQ21">
        <v>15.5</v>
      </c>
      <c r="AS21" s="38">
        <f t="shared" si="0"/>
        <v>20</v>
      </c>
      <c r="AT21" s="25" t="b">
        <f t="shared" si="1"/>
        <v>0</v>
      </c>
      <c r="AU21" s="25" t="b">
        <f t="shared" si="2"/>
        <v>0</v>
      </c>
      <c r="AV21" s="25" t="b">
        <f t="shared" si="4"/>
        <v>0</v>
      </c>
      <c r="AW21" s="25" t="b">
        <f t="shared" si="5"/>
        <v>0</v>
      </c>
      <c r="AX21" t="e">
        <f t="shared" si="6"/>
        <v>#N/A</v>
      </c>
      <c r="AY21" s="24" t="e">
        <f t="shared" si="8"/>
        <v>#N/A</v>
      </c>
      <c r="AZ21" t="e">
        <f t="shared" si="3"/>
        <v>#N/A</v>
      </c>
      <c r="BA21" t="b">
        <f t="shared" si="7"/>
        <v>1</v>
      </c>
      <c r="BB21">
        <f>IF(BA21=FALSE,AZ21,"")</f>
      </c>
      <c r="BC21" s="25">
        <v>19</v>
      </c>
      <c r="BD21" s="6">
        <v>90</v>
      </c>
      <c r="BE21" s="8">
        <v>0.8</v>
      </c>
      <c r="BG21" s="10"/>
      <c r="BH21" s="11"/>
      <c r="BJ21" s="14">
        <f t="shared" si="10"/>
        <v>12.969203958877902</v>
      </c>
      <c r="BK21" s="11">
        <f t="shared" si="11"/>
        <v>0.05559917313492239</v>
      </c>
      <c r="BM21" s="7" t="s">
        <v>812</v>
      </c>
      <c r="BN21" s="20">
        <f>IF(BN17&gt;=10,BN19,BN18)</f>
        <v>14</v>
      </c>
      <c r="BU21" s="33">
        <v>1000012</v>
      </c>
      <c r="BV21" s="33">
        <f t="shared" si="23"/>
        <v>0</v>
      </c>
      <c r="BX21" s="39">
        <v>6</v>
      </c>
      <c r="BY21" s="45" t="str">
        <f>LOOKUP(BV$54,BZ$5:DJ$5,BZ21:DJ21)</f>
        <v>G03 X-2. Y2. Z0.375 I-2. J0.</v>
      </c>
      <c r="BZ21" s="45"/>
      <c r="CA21" s="44" t="str">
        <f>CONCATENATE(DL21,DM21,DN21,DO21,DP21,DQ21,DR21,DS21,DT21,DU21,DV21,DW21)</f>
        <v>G03 X-2. Y2. Z0.375 I-2. J0.</v>
      </c>
      <c r="CB21" s="44" t="str">
        <f>CONCATENATE(BX21,DL88,DM88,DN88)</f>
        <v>6 CP IPA+90 IZ+0.375 DR+</v>
      </c>
      <c r="CC21" s="44" t="str">
        <f>CONCATENATE(DY21,DZ21,EA21,EB21,EC21,ED21,EE21,EF21,EG21,EH21,EI21,EJ21)</f>
        <v>G03 X-1.733 Y1.733 Z0.375 I-1.733 J0.</v>
      </c>
      <c r="CD21" s="44" t="str">
        <f>CB21</f>
        <v>6 CP IPA+90 IZ+0.375 DR+</v>
      </c>
      <c r="CE21" s="44" t="str">
        <f>CONCATENATE(EL21,EM21,EN21,EO21,EP21,EQ21,ER21,ES21,ET21,EU21,EV21,EW21)</f>
        <v>G03 X-1.595 Y1.595 Z0.375 I-1.595 J0.</v>
      </c>
      <c r="CF21" s="44" t="str">
        <f>CD21</f>
        <v>6 CP IPA+90 IZ+0.375 DR+</v>
      </c>
      <c r="CG21" s="44" t="str">
        <f>CA12</f>
        <v>G01 G41 X2. Y-2. F156</v>
      </c>
      <c r="CH21" s="44" t="str">
        <f>CONCATENATE(BX21,EY88)</f>
        <v>6 LBL 101</v>
      </c>
      <c r="CI21" s="44" t="str">
        <f>CC12</f>
        <v>G01 G41 X1.733 Y-1.733 F141</v>
      </c>
      <c r="CJ21" s="44" t="str">
        <f>CH21</f>
        <v>6 LBL 101</v>
      </c>
      <c r="CK21" s="4" t="str">
        <f>CE12</f>
        <v>G01 G41 X1.595 Y-1.595 F133</v>
      </c>
      <c r="CL21" s="4" t="str">
        <f>CH21</f>
        <v>6 LBL 101</v>
      </c>
      <c r="CM21" s="4" t="str">
        <f>CG15</f>
        <v>#2=0</v>
      </c>
      <c r="CN21" s="44" t="str">
        <f>CB21</f>
        <v>6 CP IPA+90 IZ+0.375 DR+</v>
      </c>
      <c r="CO21" s="44" t="str">
        <f>CM21</f>
        <v>#2=0</v>
      </c>
      <c r="CP21" s="44" t="str">
        <f>CD21</f>
        <v>6 CP IPA+90 IZ+0.375 DR+</v>
      </c>
      <c r="CQ21" s="44" t="str">
        <f>CO21</f>
        <v>#2=0</v>
      </c>
      <c r="CR21" s="152" t="str">
        <f>CF21</f>
        <v>6 CP IPA+90 IZ+0.375 DR+</v>
      </c>
      <c r="CS21" s="44" t="str">
        <f>CONCATENATE(FN21,FO21,FP21,FQ21,FR21,FS21,FT21,FU21,FV21,FW21,FX21,FY21)</f>
        <v>G03 X-4.046 Y-4.023 Z0.75 I-0.023 J-4.023</v>
      </c>
      <c r="CT21" s="152" t="str">
        <f>CB21</f>
        <v>6 CP IPA+90 IZ+0.375 DR+</v>
      </c>
      <c r="CU21" s="44" t="str">
        <f>CONCATENATE(GA21,GB21,GC21,GD21,GE21,GF21,GG21,GH21,GI21,GJ21,GK21,GL21)</f>
        <v>G03 X-3.512 Y-3.489 Z0.75 I-0.023 J-3.489</v>
      </c>
      <c r="CV21" s="152" t="str">
        <f>CD21</f>
        <v>6 CP IPA+90 IZ+0.375 DR+</v>
      </c>
      <c r="CW21" s="44" t="str">
        <f>CONCATENATE(GN21,GO21,GP21,GQ21,GR21,GS21,GT21,GU21,GV21,GW21,GX21,GY21)</f>
        <v>G03 X-3.236 Y-3.213 Z0.75 I-0.023 J-3.213</v>
      </c>
      <c r="CX21" s="152" t="str">
        <f>CF21</f>
        <v>6 CP IPA+90 IZ+0.375 DR+</v>
      </c>
      <c r="CY21" s="44" t="str">
        <f>CONCATENATE(DL18,DM18,DN18,". C",DP18,DQ18,DR18,DS18,DT18,DU18,DV18,DW18)</f>
        <v>G03 X0. C0. Z3. I-4. J0.</v>
      </c>
      <c r="CZ21" s="44" t="str">
        <f>CONCATENATE(DY18,DZ18,EA18,". C",EC18,ED18,EE18,EF18,EG18,EH18,EI18,EJ18)</f>
        <v>G03 X0. C0. Z3. I-3.466 J0.</v>
      </c>
      <c r="DA21" s="44" t="str">
        <f>CONCATENATE(EL18,EM18,EN18,". C",EP18,EQ18,ER18,ES18,ET18,EU18,EV18,EW18)</f>
        <v>G03 X0. C0. Z3. I-3.19 J0.</v>
      </c>
      <c r="DB21" s="44" t="str">
        <f>CG18</f>
        <v>WHILE[#2LT#1]DO1</v>
      </c>
      <c r="DC21" s="44" t="str">
        <f>DB21</f>
        <v>WHILE[#2LT#1]DO1</v>
      </c>
      <c r="DD21" s="44" t="str">
        <f>DB21</f>
        <v>WHILE[#2LT#1]DO1</v>
      </c>
      <c r="DE21" s="44" t="str">
        <f>CM18</f>
        <v>#1=12</v>
      </c>
      <c r="DF21" s="44" t="str">
        <f>DE21</f>
        <v>#1=12</v>
      </c>
      <c r="DG21" s="44" t="str">
        <f>DF21</f>
        <v>#1=12</v>
      </c>
      <c r="DH21" s="44" t="str">
        <f>CONCATENATE(FN18,FO18,FP18,HG21,FR18,FS18,FT18,FU18,FV18,FW18,FX18,FY18)</f>
        <v>G03 X-4. C4.023 Z0.75 I-4. J0.023</v>
      </c>
      <c r="DI21" s="44" t="str">
        <f>CONCATENATE(GA18,GB18,GC18,HI21,GE18,GF18,GG18,GH18,GI18,GJ18,GK18,GL18)</f>
        <v>G03 X-3.466 C3.489 Z0.75 I-3.466 J0.023</v>
      </c>
      <c r="DJ21" s="44" t="str">
        <f>CONCATENATE(GN18,GO18,GP18,HK21,GR18,GS18,GT18,GU18,GV18,GW18,GX18,GY18)</f>
        <v>G03 X-3.19 C3.213 Z0.75 I-3.19 J0.023</v>
      </c>
      <c r="DK21" s="49">
        <v>6</v>
      </c>
      <c r="DL21" s="18" t="s">
        <v>585</v>
      </c>
      <c r="DM21" s="18" t="s">
        <v>584</v>
      </c>
      <c r="DN21" s="18" t="str">
        <f>SUBSTITUTE(DN19,",",".")</f>
        <v>-2</v>
      </c>
      <c r="DO21" s="18" t="str">
        <f>IF(DN19=DN20,". Y"," Y")</f>
        <v>. Y</v>
      </c>
      <c r="DP21" s="18" t="str">
        <f>SUBSTITUTE(DP19,",",".")</f>
        <v>2</v>
      </c>
      <c r="DQ21" s="18" t="str">
        <f>IF(DP19=DP20,". Z"," Z")</f>
        <v>. Z</v>
      </c>
      <c r="DR21" s="18" t="str">
        <f>SUBSTITUTE(DR19,",",".")</f>
        <v>0.375</v>
      </c>
      <c r="DS21" s="18" t="str">
        <f>IF(DR19=DR20,". I"," I")</f>
        <v> I</v>
      </c>
      <c r="DT21" s="18" t="str">
        <f>SUBSTITUTE(DT19,",",".")</f>
        <v>-2</v>
      </c>
      <c r="DU21" s="18" t="str">
        <f>IF(DT19=DT20,". J"," J")</f>
        <v>. J</v>
      </c>
      <c r="DV21" s="18">
        <v>0</v>
      </c>
      <c r="DW21" s="25" t="s">
        <v>1070</v>
      </c>
      <c r="DX21" s="49">
        <v>6</v>
      </c>
      <c r="DY21" s="18" t="s">
        <v>585</v>
      </c>
      <c r="DZ21" s="18" t="s">
        <v>584</v>
      </c>
      <c r="EA21" s="18" t="str">
        <f>SUBSTITUTE(EA19,",",".")</f>
        <v>-1.733</v>
      </c>
      <c r="EB21" s="18" t="str">
        <f>IF(EA19=EA20,". Y"," Y")</f>
        <v> Y</v>
      </c>
      <c r="EC21" s="18" t="str">
        <f>SUBSTITUTE(EC19,",",".")</f>
        <v>1.733</v>
      </c>
      <c r="ED21" s="18" t="str">
        <f>IF(EC19=EC20,". Z"," Z")</f>
        <v> Z</v>
      </c>
      <c r="EE21" s="18" t="str">
        <f>SUBSTITUTE(EE19,",",".")</f>
        <v>0.375</v>
      </c>
      <c r="EF21" s="18" t="str">
        <f>IF(EE19=EE20,". I"," I")</f>
        <v> I</v>
      </c>
      <c r="EG21" s="18" t="str">
        <f>SUBSTITUTE(EG19,",",".")</f>
        <v>-1.733</v>
      </c>
      <c r="EH21" s="18" t="str">
        <f>IF(EG19=EG20,". J"," J")</f>
        <v> J</v>
      </c>
      <c r="EI21" s="18">
        <v>0</v>
      </c>
      <c r="EJ21" s="25" t="s">
        <v>1070</v>
      </c>
      <c r="EK21" s="49">
        <v>6</v>
      </c>
      <c r="EL21" s="18" t="s">
        <v>585</v>
      </c>
      <c r="EM21" s="18" t="s">
        <v>584</v>
      </c>
      <c r="EN21" s="18" t="str">
        <f>SUBSTITUTE(EN19,",",".")</f>
        <v>-1.595</v>
      </c>
      <c r="EO21" s="18" t="str">
        <f>IF(EN19=EN20,". Y"," Y")</f>
        <v> Y</v>
      </c>
      <c r="EP21" s="18" t="str">
        <f>SUBSTITUTE(EP19,",",".")</f>
        <v>1.595</v>
      </c>
      <c r="EQ21" s="18" t="str">
        <f>IF(EP19=EP20,". Z"," Z")</f>
        <v> Z</v>
      </c>
      <c r="ER21" s="18" t="str">
        <f>SUBSTITUTE(ER19,",",".")</f>
        <v>0.375</v>
      </c>
      <c r="ES21" s="18" t="str">
        <f>IF(ER19=ER20,". I"," I")</f>
        <v> I</v>
      </c>
      <c r="ET21" s="18" t="str">
        <f>SUBSTITUTE(ET19,",",".")</f>
        <v>-1.595</v>
      </c>
      <c r="EU21" s="18" t="str">
        <f>IF(ET19=ET20,". J"," J")</f>
        <v> J</v>
      </c>
      <c r="EV21" s="18">
        <v>0</v>
      </c>
      <c r="EW21" s="25" t="s">
        <v>1070</v>
      </c>
      <c r="FM21" s="49">
        <v>6</v>
      </c>
      <c r="FN21" s="33" t="s">
        <v>585</v>
      </c>
      <c r="FO21" s="33" t="s">
        <v>584</v>
      </c>
      <c r="FP21" s="18" t="str">
        <f>SUBSTITUTE(FP19,",",".")</f>
        <v>-4.046</v>
      </c>
      <c r="FQ21" s="18" t="str">
        <f>IF(FP19=FP20,". Y"," Y")</f>
        <v> Y</v>
      </c>
      <c r="FR21" s="18" t="str">
        <f>SUBSTITUTE(FR19,",",".")</f>
        <v>-4.023</v>
      </c>
      <c r="FS21" s="18" t="str">
        <f>IF(FR19=FR20,". Z"," Z")</f>
        <v> Z</v>
      </c>
      <c r="FT21" s="18" t="str">
        <f>SUBSTITUTE(FT19,",",".")</f>
        <v>0.75</v>
      </c>
      <c r="FU21" s="18" t="str">
        <f>IF(FT19=FT20,". I"," I")</f>
        <v> I</v>
      </c>
      <c r="FV21" s="18" t="str">
        <f>SUBSTITUTE(FV19,",",".")</f>
        <v>-0.023</v>
      </c>
      <c r="FW21" s="18" t="str">
        <f>IF(FV19=FV20,". J"," J")</f>
        <v> J</v>
      </c>
      <c r="FX21" s="18" t="str">
        <f>SUBSTITUTE(FX19,",",".")</f>
        <v>-4.023</v>
      </c>
      <c r="FY21" s="18">
        <f>IF(FX19=FX20,".","")</f>
      </c>
      <c r="FZ21" s="49">
        <v>6</v>
      </c>
      <c r="GA21" s="33" t="s">
        <v>585</v>
      </c>
      <c r="GB21" s="33" t="s">
        <v>584</v>
      </c>
      <c r="GC21" s="18" t="str">
        <f>SUBSTITUTE(GC19,",",".")</f>
        <v>-3.512</v>
      </c>
      <c r="GD21" s="18" t="str">
        <f>IF(GC19=GC20,". Y"," Y")</f>
        <v> Y</v>
      </c>
      <c r="GE21" s="18" t="str">
        <f>SUBSTITUTE(GE19,",",".")</f>
        <v>-3.489</v>
      </c>
      <c r="GF21" s="18" t="str">
        <f>IF(GE19=GE20,". Z"," Z")</f>
        <v> Z</v>
      </c>
      <c r="GG21" s="18" t="str">
        <f>SUBSTITUTE(GG19,",",".")</f>
        <v>0.75</v>
      </c>
      <c r="GH21" s="18" t="str">
        <f>IF(GG19=GG20,". I"," I")</f>
        <v> I</v>
      </c>
      <c r="GI21" s="18" t="str">
        <f>SUBSTITUTE(GI19,",",".")</f>
        <v>-0.023</v>
      </c>
      <c r="GJ21" s="18" t="str">
        <f>IF(GI19=GI20,". J"," J")</f>
        <v> J</v>
      </c>
      <c r="GK21" s="18" t="str">
        <f>SUBSTITUTE(GK19,",",".")</f>
        <v>-3.489</v>
      </c>
      <c r="GL21" s="18">
        <f>IF(GK19=GK20,".","")</f>
      </c>
      <c r="GM21" s="49">
        <v>6</v>
      </c>
      <c r="GN21" s="33" t="s">
        <v>585</v>
      </c>
      <c r="GO21" s="33" t="s">
        <v>584</v>
      </c>
      <c r="GP21" s="18" t="str">
        <f>SUBSTITUTE(GP19,",",".")</f>
        <v>-3.236</v>
      </c>
      <c r="GQ21" s="18" t="str">
        <f>IF(GP19=GP20,". Y"," Y")</f>
        <v> Y</v>
      </c>
      <c r="GR21" s="18" t="str">
        <f>SUBSTITUTE(GR19,",",".")</f>
        <v>-3.213</v>
      </c>
      <c r="GS21" s="18" t="str">
        <f>IF(GR19=GR20,". Z"," Z")</f>
        <v> Z</v>
      </c>
      <c r="GT21" s="18" t="str">
        <f>SUBSTITUTE(GT19,",",".")</f>
        <v>0.75</v>
      </c>
      <c r="GU21" s="18" t="str">
        <f>IF(GT19=GT20,". I"," I")</f>
        <v> I</v>
      </c>
      <c r="GV21" s="18" t="str">
        <f>SUBSTITUTE(GV19,",",".")</f>
        <v>-0.023</v>
      </c>
      <c r="GW21" s="18" t="str">
        <f>IF(GV19=GV20,". J"," J")</f>
        <v> J</v>
      </c>
      <c r="GX21" s="18" t="str">
        <f>SUBSTITUTE(GX19,",",".")</f>
        <v>-3.213</v>
      </c>
      <c r="GY21" s="18">
        <f>IF(GX19=GX20,".","")</f>
      </c>
      <c r="HF21" s="49">
        <v>6</v>
      </c>
      <c r="HG21" s="33" t="str">
        <f>IF(FP16=FP17,". C"," C")</f>
        <v>. C</v>
      </c>
      <c r="HH21" s="49">
        <v>6</v>
      </c>
      <c r="HI21" s="33" t="str">
        <f>IF(GC16=GC17,". C"," C")</f>
        <v> C</v>
      </c>
      <c r="HJ21" s="49">
        <v>6</v>
      </c>
      <c r="HK21" s="33" t="str">
        <f>IF(GP16=GP17,". C"," C")</f>
        <v> C</v>
      </c>
    </row>
    <row r="22" spans="1:206" ht="15.75" customHeight="1">
      <c r="A22" s="65"/>
      <c r="B22" s="70" t="str">
        <f aca="true" t="shared" si="25" ref="B22:B32">I68</f>
        <v>d = cutter diameter (mm)</v>
      </c>
      <c r="C22" s="75">
        <f>LOOKUP(BG12,AF2:AF300,AL2:AL300)</f>
        <v>16</v>
      </c>
      <c r="D22" s="76"/>
      <c r="E22" s="72">
        <v>5</v>
      </c>
      <c r="F22" s="64">
        <f>IF(BY60=0,"",BY60)</f>
      </c>
      <c r="G22" s="64"/>
      <c r="H22" s="25">
        <v>6</v>
      </c>
      <c r="I22" s="5" t="str">
        <f t="shared" si="24"/>
        <v>NPTF - Dryseal, Tapered Pipe Thread</v>
      </c>
      <c r="J22" s="87" t="s">
        <v>1042</v>
      </c>
      <c r="K22" s="34" t="s">
        <v>765</v>
      </c>
      <c r="L22" s="34" t="s">
        <v>1223</v>
      </c>
      <c r="M22" s="34" t="s">
        <v>771</v>
      </c>
      <c r="N22" s="34" t="s">
        <v>903</v>
      </c>
      <c r="O22" t="s">
        <v>1737</v>
      </c>
      <c r="P22" s="34" t="s">
        <v>1186</v>
      </c>
      <c r="Q22" s="34" t="s">
        <v>156</v>
      </c>
      <c r="R22" s="34" t="s">
        <v>1799</v>
      </c>
      <c r="S22" s="34" t="s">
        <v>1271</v>
      </c>
      <c r="T22" s="34" t="s">
        <v>1509</v>
      </c>
      <c r="U22" s="34" t="s">
        <v>1594</v>
      </c>
      <c r="V22" s="34" t="s">
        <v>1527</v>
      </c>
      <c r="W22" s="34" t="s">
        <v>549</v>
      </c>
      <c r="X22" s="34" t="s">
        <v>1690</v>
      </c>
      <c r="Y22" s="34" t="s">
        <v>598</v>
      </c>
      <c r="Z22" s="98" t="s">
        <v>1374</v>
      </c>
      <c r="AA22" s="112" t="s">
        <v>1641</v>
      </c>
      <c r="AB22" s="103" t="s">
        <v>496</v>
      </c>
      <c r="AC22" s="120" t="s">
        <v>208</v>
      </c>
      <c r="AD22" s="34" t="s">
        <v>294</v>
      </c>
      <c r="AF22" s="4">
        <v>21</v>
      </c>
      <c r="AG22" s="4">
        <v>2</v>
      </c>
      <c r="AH22" s="4">
        <v>4</v>
      </c>
      <c r="AI22" s="4">
        <v>4</v>
      </c>
      <c r="AJ22" t="s">
        <v>1917</v>
      </c>
      <c r="AK22">
        <v>12</v>
      </c>
      <c r="AL22">
        <v>12</v>
      </c>
      <c r="AM22">
        <v>4</v>
      </c>
      <c r="AN22">
        <v>14</v>
      </c>
      <c r="AO22">
        <v>20.86</v>
      </c>
      <c r="AP22">
        <v>83</v>
      </c>
      <c r="AQ22">
        <v>15.5</v>
      </c>
      <c r="AS22" s="38">
        <f t="shared" si="0"/>
        <v>21</v>
      </c>
      <c r="AT22" s="25" t="b">
        <f t="shared" si="1"/>
        <v>0</v>
      </c>
      <c r="AU22" s="25" t="b">
        <f t="shared" si="2"/>
        <v>0</v>
      </c>
      <c r="AV22" s="25" t="b">
        <f t="shared" si="4"/>
        <v>0</v>
      </c>
      <c r="AW22" s="25" t="b">
        <f t="shared" si="5"/>
        <v>0</v>
      </c>
      <c r="BC22" s="25">
        <v>20</v>
      </c>
      <c r="BD22" s="6">
        <v>63</v>
      </c>
      <c r="BE22" s="8">
        <v>0.7</v>
      </c>
      <c r="BG22" s="10"/>
      <c r="BH22" s="11"/>
      <c r="BJ22" s="14">
        <f t="shared" si="10"/>
        <v>14.395816394354473</v>
      </c>
      <c r="BK22" s="11">
        <f t="shared" si="11"/>
        <v>0.06115909044841463</v>
      </c>
      <c r="BU22" s="33">
        <v>1000022</v>
      </c>
      <c r="BV22" s="33">
        <f t="shared" si="23"/>
        <v>0</v>
      </c>
      <c r="BX22" s="39"/>
      <c r="BY22" s="45"/>
      <c r="BZ22" s="45"/>
      <c r="CL22" s="44"/>
      <c r="DK22" s="49"/>
      <c r="DL22" s="18"/>
      <c r="DM22" s="18"/>
      <c r="DN22" s="18"/>
      <c r="DO22" s="18">
        <f>-BR57</f>
        <v>-2</v>
      </c>
      <c r="DP22" s="18"/>
      <c r="DQ22" s="18">
        <f>-BR57</f>
        <v>-2</v>
      </c>
      <c r="DR22" s="18"/>
      <c r="DS22" s="18"/>
      <c r="DT22" s="18"/>
      <c r="DU22" s="18"/>
      <c r="DV22" s="18"/>
      <c r="DX22" s="49"/>
      <c r="DY22" s="18"/>
      <c r="DZ22" s="18"/>
      <c r="EA22" s="18"/>
      <c r="EB22" s="18">
        <f>-BS62</f>
        <v>-1.733</v>
      </c>
      <c r="EC22" s="18"/>
      <c r="ED22" s="18">
        <f>-BS62</f>
        <v>-1.733</v>
      </c>
      <c r="EE22" s="18"/>
      <c r="EF22" s="18"/>
      <c r="EG22" s="18"/>
      <c r="EH22" s="18"/>
      <c r="EI22" s="18"/>
      <c r="EJ22" s="25"/>
      <c r="EK22" s="49"/>
      <c r="EL22" s="18"/>
      <c r="EM22" s="18"/>
      <c r="EN22" s="18"/>
      <c r="EO22" s="18">
        <f>-BS68</f>
        <v>-1.595</v>
      </c>
      <c r="EP22" s="18"/>
      <c r="EQ22" s="18">
        <f>-BS68</f>
        <v>-1.595</v>
      </c>
      <c r="ER22" s="18"/>
      <c r="ES22" s="18"/>
      <c r="ET22" s="18"/>
      <c r="EU22" s="18"/>
      <c r="EV22" s="18"/>
      <c r="EW22" s="25"/>
      <c r="FP22" s="33">
        <f>-FP19</f>
        <v>4.045999999999999</v>
      </c>
      <c r="FR22" s="33">
        <f>FP19+FV19</f>
        <v>-4.068999999999999</v>
      </c>
      <c r="FT22" s="33">
        <f>FT16</f>
        <v>0.75</v>
      </c>
      <c r="FV22" s="33">
        <f>FP22</f>
        <v>4.045999999999999</v>
      </c>
      <c r="FX22" s="33">
        <f>-FX16</f>
        <v>-0.023</v>
      </c>
      <c r="GC22" s="33">
        <f>-GC19</f>
        <v>3.512</v>
      </c>
      <c r="GE22" s="33">
        <f>GC19+GI19</f>
        <v>-3.535</v>
      </c>
      <c r="GG22" s="33">
        <f>GG16</f>
        <v>0.75</v>
      </c>
      <c r="GI22" s="33">
        <f>GC22</f>
        <v>3.512</v>
      </c>
      <c r="GK22" s="33">
        <f>-GK16</f>
        <v>-0.023</v>
      </c>
      <c r="GP22" s="33">
        <f>-GP19</f>
        <v>3.236</v>
      </c>
      <c r="GR22" s="33">
        <f>GP19+GV19</f>
        <v>-3.2590000000000003</v>
      </c>
      <c r="GT22" s="33">
        <f>GT16</f>
        <v>0.75</v>
      </c>
      <c r="GV22" s="33">
        <f>GP22</f>
        <v>3.236</v>
      </c>
      <c r="GX22" s="33">
        <f>-GX16</f>
        <v>-0.023</v>
      </c>
    </row>
    <row r="23" spans="1:206" ht="15.75" customHeight="1">
      <c r="A23" s="65"/>
      <c r="B23" s="70" t="str">
        <f t="shared" si="25"/>
        <v>l = length of cutting edge (mm)</v>
      </c>
      <c r="C23" s="75">
        <f>LOOKUP(BG12,AF2:AF300,AO2:AO300)</f>
        <v>40.5</v>
      </c>
      <c r="D23" s="77"/>
      <c r="E23" s="72">
        <v>6</v>
      </c>
      <c r="F23" s="64">
        <f>IF(BY63=0,"",BY63)</f>
      </c>
      <c r="G23" s="64"/>
      <c r="H23" s="25">
        <v>7</v>
      </c>
      <c r="I23" s="5" t="str">
        <f t="shared" si="24"/>
        <v>NPSF - Pipe Thread</v>
      </c>
      <c r="J23" s="87" t="s">
        <v>1043</v>
      </c>
      <c r="K23" s="34" t="s">
        <v>623</v>
      </c>
      <c r="L23" s="34" t="s">
        <v>1224</v>
      </c>
      <c r="M23" s="34" t="s">
        <v>624</v>
      </c>
      <c r="N23" s="34" t="s">
        <v>845</v>
      </c>
      <c r="O23" t="s">
        <v>1738</v>
      </c>
      <c r="P23" s="34" t="s">
        <v>418</v>
      </c>
      <c r="Q23" s="34" t="s">
        <v>157</v>
      </c>
      <c r="R23" s="34" t="s">
        <v>1800</v>
      </c>
      <c r="S23" s="34" t="s">
        <v>1272</v>
      </c>
      <c r="T23" s="34" t="s">
        <v>1510</v>
      </c>
      <c r="U23" s="34" t="s">
        <v>1595</v>
      </c>
      <c r="V23" s="34" t="s">
        <v>1484</v>
      </c>
      <c r="W23" s="34" t="s">
        <v>604</v>
      </c>
      <c r="X23" s="34" t="s">
        <v>1691</v>
      </c>
      <c r="Y23" s="34" t="s">
        <v>813</v>
      </c>
      <c r="Z23" s="98" t="s">
        <v>1375</v>
      </c>
      <c r="AA23" s="112" t="s">
        <v>1460</v>
      </c>
      <c r="AB23" s="103" t="s">
        <v>497</v>
      </c>
      <c r="AC23" s="120" t="s">
        <v>117</v>
      </c>
      <c r="AD23" s="34" t="s">
        <v>161</v>
      </c>
      <c r="AF23" s="4">
        <v>22</v>
      </c>
      <c r="AG23" s="4">
        <v>1</v>
      </c>
      <c r="AH23" s="4">
        <v>1</v>
      </c>
      <c r="AI23" s="4">
        <v>3</v>
      </c>
      <c r="AJ23" t="s">
        <v>1918</v>
      </c>
      <c r="AK23">
        <v>12</v>
      </c>
      <c r="AL23">
        <v>12</v>
      </c>
      <c r="AM23">
        <v>3</v>
      </c>
      <c r="AN23">
        <v>11</v>
      </c>
      <c r="AO23">
        <v>26.55</v>
      </c>
      <c r="AP23">
        <v>83</v>
      </c>
      <c r="AQ23">
        <v>15.476</v>
      </c>
      <c r="AS23" s="38">
        <f t="shared" si="0"/>
        <v>22</v>
      </c>
      <c r="AT23" s="25" t="b">
        <f t="shared" si="1"/>
        <v>0</v>
      </c>
      <c r="AU23" s="25" t="b">
        <f t="shared" si="2"/>
        <v>0</v>
      </c>
      <c r="AV23" s="25" t="b">
        <f t="shared" si="4"/>
        <v>0</v>
      </c>
      <c r="AW23" s="25" t="b">
        <f t="shared" si="5"/>
        <v>0</v>
      </c>
      <c r="BC23" s="25">
        <v>21</v>
      </c>
      <c r="BD23" s="6">
        <v>55</v>
      </c>
      <c r="BE23" s="8">
        <v>0.6</v>
      </c>
      <c r="BG23" s="7" t="s">
        <v>824</v>
      </c>
      <c r="BH23" s="11">
        <f>BH3*BM65*BH12</f>
        <v>0.04951690151100004</v>
      </c>
      <c r="BJ23" s="14">
        <f t="shared" si="10"/>
        <v>15.979356197733466</v>
      </c>
      <c r="BK23" s="11">
        <f t="shared" si="11"/>
        <v>0.0672749994932561</v>
      </c>
      <c r="BM23" s="7" t="s">
        <v>836</v>
      </c>
      <c r="BN23" s="21">
        <f>IF(BH29=1,BN21*BR9,IF(BH29=2,BU64*BR9,IF(BH29=3,BU71*BR9)))</f>
        <v>14</v>
      </c>
      <c r="BU23" s="33">
        <v>1000032</v>
      </c>
      <c r="BV23" s="33">
        <f t="shared" si="23"/>
        <v>0</v>
      </c>
      <c r="BX23" s="39"/>
      <c r="BY23" s="45"/>
      <c r="BZ23" s="45"/>
      <c r="CL23" s="44"/>
      <c r="DO23" s="25">
        <f>INT(DO22)</f>
        <v>-2</v>
      </c>
      <c r="DQ23" s="25">
        <f>INT(DQ22)</f>
        <v>-2</v>
      </c>
      <c r="DX23" s="46"/>
      <c r="DY23"/>
      <c r="DZ23"/>
      <c r="EA23"/>
      <c r="EB23" s="25">
        <f>INT(EB22)</f>
        <v>-2</v>
      </c>
      <c r="EC23"/>
      <c r="ED23" s="25">
        <f>INT(ED22)</f>
        <v>-2</v>
      </c>
      <c r="EE23"/>
      <c r="EF23"/>
      <c r="EG23"/>
      <c r="EH23"/>
      <c r="EI23"/>
      <c r="EJ23" s="25"/>
      <c r="EO23" s="25">
        <f>INT(EO22)</f>
        <v>-2</v>
      </c>
      <c r="EQ23" s="25">
        <f>INT(EQ22)</f>
        <v>-2</v>
      </c>
      <c r="EW23" s="25"/>
      <c r="FP23" s="25">
        <f>INT(FP22)</f>
        <v>4</v>
      </c>
      <c r="FR23" s="25">
        <f>INT(FR22)</f>
        <v>-5</v>
      </c>
      <c r="FT23" s="25">
        <f>INT(FT22)</f>
        <v>0</v>
      </c>
      <c r="FV23" s="25">
        <f>INT(FV22)</f>
        <v>4</v>
      </c>
      <c r="FX23" s="25">
        <f>INT(FX22)</f>
        <v>-1</v>
      </c>
      <c r="GC23" s="25">
        <f>INT(GC22)</f>
        <v>3</v>
      </c>
      <c r="GE23" s="25">
        <f>INT(GE22)</f>
        <v>-4</v>
      </c>
      <c r="GG23" s="25">
        <f>INT(GG22)</f>
        <v>0</v>
      </c>
      <c r="GI23" s="25">
        <f>INT(GI22)</f>
        <v>3</v>
      </c>
      <c r="GK23" s="25">
        <f>INT(GK22)</f>
        <v>-1</v>
      </c>
      <c r="GP23" s="25">
        <f>INT(GP22)</f>
        <v>3</v>
      </c>
      <c r="GR23" s="25">
        <f>INT(GR22)</f>
        <v>-4</v>
      </c>
      <c r="GT23" s="25">
        <f>INT(GT22)</f>
        <v>0</v>
      </c>
      <c r="GV23" s="25">
        <f>INT(GV22)</f>
        <v>3</v>
      </c>
      <c r="GX23" s="25">
        <f>INT(GX22)</f>
        <v>-1</v>
      </c>
    </row>
    <row r="24" spans="1:219" ht="15.75" customHeight="1">
      <c r="A24" s="65"/>
      <c r="B24" s="70" t="str">
        <f t="shared" si="25"/>
        <v>z = number of flutes</v>
      </c>
      <c r="C24" s="75">
        <f>LOOKUP(BG12,AF2:AF300,AM2:AM300)</f>
        <v>3</v>
      </c>
      <c r="D24" s="73"/>
      <c r="E24" s="72">
        <v>7</v>
      </c>
      <c r="F24" s="64">
        <f>IF(BY66=0,"",BY66)</f>
      </c>
      <c r="G24" s="64"/>
      <c r="H24" s="25">
        <v>8</v>
      </c>
      <c r="I24" s="5" t="str">
        <f>LOOKUP(H$27,J$2:AD$2,J24:AD24)</f>
        <v>PG - Panzerrohrgewinde</v>
      </c>
      <c r="J24" s="87" t="s">
        <v>1044</v>
      </c>
      <c r="K24" s="34" t="s">
        <v>1051</v>
      </c>
      <c r="L24" s="34" t="s">
        <v>1051</v>
      </c>
      <c r="M24" s="34" t="s">
        <v>1051</v>
      </c>
      <c r="N24" s="34" t="s">
        <v>1051</v>
      </c>
      <c r="O24" s="34" t="s">
        <v>1739</v>
      </c>
      <c r="P24" s="34" t="s">
        <v>1187</v>
      </c>
      <c r="Q24" s="34" t="s">
        <v>158</v>
      </c>
      <c r="R24" s="34" t="s">
        <v>1801</v>
      </c>
      <c r="S24" s="34" t="s">
        <v>1051</v>
      </c>
      <c r="T24" s="34" t="s">
        <v>1426</v>
      </c>
      <c r="U24" s="34" t="s">
        <v>1596</v>
      </c>
      <c r="V24" s="34" t="s">
        <v>1051</v>
      </c>
      <c r="W24" s="34" t="s">
        <v>605</v>
      </c>
      <c r="X24" s="34" t="s">
        <v>1692</v>
      </c>
      <c r="Y24" s="34" t="s">
        <v>677</v>
      </c>
      <c r="Z24" s="98" t="s">
        <v>1376</v>
      </c>
      <c r="AA24" s="112" t="s">
        <v>1461</v>
      </c>
      <c r="AB24" s="103" t="s">
        <v>498</v>
      </c>
      <c r="AC24" s="120" t="s">
        <v>118</v>
      </c>
      <c r="AD24" s="34" t="s">
        <v>166</v>
      </c>
      <c r="AF24" s="4">
        <v>23</v>
      </c>
      <c r="AG24" s="4">
        <v>1</v>
      </c>
      <c r="AH24" s="4">
        <v>1</v>
      </c>
      <c r="AI24" s="4">
        <v>3</v>
      </c>
      <c r="AJ24" t="s">
        <v>1919</v>
      </c>
      <c r="AK24">
        <v>10</v>
      </c>
      <c r="AL24">
        <v>10</v>
      </c>
      <c r="AM24">
        <v>4</v>
      </c>
      <c r="AN24">
        <v>19</v>
      </c>
      <c r="AO24">
        <v>22.06</v>
      </c>
      <c r="AP24">
        <v>76</v>
      </c>
      <c r="AQ24">
        <v>12.7</v>
      </c>
      <c r="AS24" s="38">
        <f t="shared" si="0"/>
        <v>23</v>
      </c>
      <c r="AT24" s="25" t="b">
        <f t="shared" si="1"/>
        <v>0</v>
      </c>
      <c r="AU24" s="25" t="b">
        <f t="shared" si="2"/>
        <v>0</v>
      </c>
      <c r="AV24" s="25" t="b">
        <f t="shared" si="4"/>
        <v>0</v>
      </c>
      <c r="AW24" s="25" t="b">
        <f t="shared" si="5"/>
        <v>0</v>
      </c>
      <c r="BC24" s="25">
        <v>22</v>
      </c>
      <c r="BD24" s="6">
        <v>180</v>
      </c>
      <c r="BE24" s="8">
        <v>1</v>
      </c>
      <c r="BG24" s="7" t="s">
        <v>854</v>
      </c>
      <c r="BH24" s="11">
        <f>BH23*1.6</f>
        <v>0.07922704241760008</v>
      </c>
      <c r="BJ24" s="14">
        <f t="shared" si="10"/>
        <v>17.73708537948415</v>
      </c>
      <c r="BK24" s="11">
        <f t="shared" si="11"/>
        <v>0.07400249944258172</v>
      </c>
      <c r="BN24" s="21">
        <f>IF(D23&gt;0,BN23/BR9,BN23)</f>
        <v>14</v>
      </c>
      <c r="BU24" s="33">
        <v>1000112</v>
      </c>
      <c r="BV24" s="33">
        <f t="shared" si="23"/>
        <v>0</v>
      </c>
      <c r="BX24" s="39">
        <v>7</v>
      </c>
      <c r="BY24" s="45" t="str">
        <f>LOOKUP(BV$54,BZ$5:DJ$5,BZ24:DJ24)</f>
        <v>G01 G40 X-2. Y-2.</v>
      </c>
      <c r="BZ24" s="45"/>
      <c r="CA24" s="44" t="str">
        <f>CONCATENATE(DL24,DM24,DN24,DO24,DP24,DQ24,DR24)</f>
        <v>G01 G40 X-2. Y-2.</v>
      </c>
      <c r="CB24" s="44" t="str">
        <f>CONCATENATE(BX24,DL91,DM91,DN91)</f>
        <v>7 CC IX-4 IY+0</v>
      </c>
      <c r="CC24" s="44" t="str">
        <f>CONCATENATE(DY24,DZ24,EA24,EB24,EC24,ED24,EE24)</f>
        <v>G01 G40 X-1.733 Y-1.733</v>
      </c>
      <c r="CD24" s="44" t="str">
        <f>CONCATENATE(BX24,DY91,DZ91,EA91)</f>
        <v>7 CC IX-3.466 IY+0</v>
      </c>
      <c r="CE24" s="44" t="str">
        <f>CONCATENATE(EL24,EM24,EN24,EO24,EP24,EQ24,ER24)</f>
        <v>G01 G40 X-1.595 Y-1.595</v>
      </c>
      <c r="CF24" s="44" t="str">
        <f>CONCATENATE(BX24,EL91,EM91,EN91)</f>
        <v>7 CC IX-3.19 IY+0</v>
      </c>
      <c r="CG24" s="44" t="str">
        <f>CA15</f>
        <v>G03 X2. Y2. Z0.375 I0. J2.</v>
      </c>
      <c r="CH24" s="44" t="str">
        <f>CONCATENATE(BX24,DL82,DM82,DN82,DO82,DP82,DQ82)</f>
        <v>7 L IX+2 IY-2 RL F156</v>
      </c>
      <c r="CI24" s="44" t="str">
        <f>CC15</f>
        <v>G03 X1.733 Y1.733 Z0.375 I0. J1.733</v>
      </c>
      <c r="CJ24" s="44" t="str">
        <f>CONCATENATE(BX24,DY82,DZ82,EA82,EB82,EC82,ED82)</f>
        <v>7 L IX+1.733 IY-1.733 RL F141</v>
      </c>
      <c r="CK24" s="4" t="str">
        <f>CE15</f>
        <v>G03 X1.595 Y1.595 Z0.375 I0. J1.595</v>
      </c>
      <c r="CL24" s="44" t="str">
        <f>CONCATENATE(BX24,EL82,EM82,EN82,EO82,EP82,EQ82)</f>
        <v>7 L IX+1.595 IY-1.595 RL F133</v>
      </c>
      <c r="CM24" s="4" t="str">
        <f>CG18</f>
        <v>WHILE[#2LT#1]DO1</v>
      </c>
      <c r="CN24" s="4" t="str">
        <f>CONCATENATE(BX24,EY82,FE18)</f>
        <v>7 FN 0: Q1 =+12</v>
      </c>
      <c r="CO24" s="44" t="str">
        <f>CM24</f>
        <v>WHILE[#2LT#1]DO1</v>
      </c>
      <c r="CP24" s="44" t="str">
        <f>CN24</f>
        <v>7 FN 0: Q1 =+12</v>
      </c>
      <c r="CQ24" s="44" t="str">
        <f>CO24</f>
        <v>WHILE[#2LT#1]DO1</v>
      </c>
      <c r="CR24" s="152" t="str">
        <f>CN24</f>
        <v>7 FN 0: Q1 =+12</v>
      </c>
      <c r="CS24" s="44" t="str">
        <f>CONCATENATE(FN24,FO24,FP24,FQ24,FR24,FS24,FT24,FU24,FV24,FW24,FX24,FY24)</f>
        <v>G03 X4.046 Y-4.069 Z0.75 I4.046 J-0.023</v>
      </c>
      <c r="CT24" s="152" t="str">
        <f>CONCATENATE(BX24,DL91,FV18,FN91,FX18)</f>
        <v>7 CC IX-4 IY+0.023</v>
      </c>
      <c r="CU24" s="44" t="str">
        <f>CONCATENATE(GA24,GB24,GC24,GD24,GE24,GF24,GG24,GH24,GI24,GJ24,GK24,GL24)</f>
        <v>G03 X3.512 Y-3.535 Z0.75 I3.512 J-0.023</v>
      </c>
      <c r="CV24" s="152" t="str">
        <f>CONCATENATE(BX24,DL91,GI18,FN91,GK18)</f>
        <v>7 CC IX-3.466 IY+0.023</v>
      </c>
      <c r="CW24" s="44" t="str">
        <f>CONCATENATE(GN24,GO24,GP24,GQ24,GR24,GS24,GT24,GU24,GV24,GW24,GX24,GY24)</f>
        <v>G03 X3.236 Y-3.259 Z0.75 I3.236 J-0.023</v>
      </c>
      <c r="CX24" s="152" t="str">
        <f>CONCATENATE(BX24,DL91,GV18,FN91,GX18)</f>
        <v>7 CC IX-3.19 IY+0.023</v>
      </c>
      <c r="CY24" s="44" t="str">
        <f>CONCATENATE(DL21,DM21,DN21,HA15,DP21,DQ21,DR21,DS21,DT21,DU21,DV21,DW21)</f>
        <v>G03 X-2. C2. Z0.375 I-2. J0.</v>
      </c>
      <c r="CZ24" s="44" t="str">
        <f>CONCATENATE(DY21,DZ21,EA21,HC15,EC21,ED21,EE21,EF21,EG21,EH21,EI21,EJ21)</f>
        <v>G03 X-1.733 C1.733 Z0.375 I-1.733 J0.</v>
      </c>
      <c r="DA24" s="44" t="str">
        <f>CONCATENATE(EL21,EM21,EN21,HE15,EP21,EQ21,ER21,ES21,ET21,EU21,EV21,EW21)</f>
        <v>G03 X-1.595 C1.595 Z0.375 I-1.595 J0.</v>
      </c>
      <c r="DB24" s="44" t="str">
        <f>CY15</f>
        <v>G01 G41 X2. C-2. F156</v>
      </c>
      <c r="DC24" s="44" t="str">
        <f>CZ15</f>
        <v>G01 G41 X1.733 C-1.733 F141</v>
      </c>
      <c r="DD24" s="44" t="str">
        <f>DA15</f>
        <v>G01 G41 X1.595 C-1.595 F133</v>
      </c>
      <c r="DE24" s="44" t="str">
        <f>CM21</f>
        <v>#2=0</v>
      </c>
      <c r="DF24" s="44" t="str">
        <f>DE24</f>
        <v>#2=0</v>
      </c>
      <c r="DG24" s="44" t="str">
        <f>DF24</f>
        <v>#2=0</v>
      </c>
      <c r="DH24" s="44" t="str">
        <f>CONCATENATE(FN21,FO21,FP21,HG24,FR21,FS21,FT21,FU21,FV21,FW21,FX21,FY21)</f>
        <v>G03 X-4.046 C-4.023 Z0.75 I-0.023 J-4.023</v>
      </c>
      <c r="DI24" s="44" t="str">
        <f>CONCATENATE(GA21,GB21,GC21,HI24,GE21,GF21,GG21,GH21,GI21,GJ21,GK21,GL21)</f>
        <v>G03 X-3.512 C-3.489 Z0.75 I-0.023 J-3.489</v>
      </c>
      <c r="DJ24" s="44" t="str">
        <f>CONCATENATE(GN21,GO21,GP21,HK24,GR21,GS21,GT21,GU21,GV21,GW21,GX21,GY21)</f>
        <v>G03 X-3.236 C-3.213 Z0.75 I-0.023 J-3.213</v>
      </c>
      <c r="DK24" s="49">
        <v>7</v>
      </c>
      <c r="DL24" s="18" t="s">
        <v>582</v>
      </c>
      <c r="DM24" s="18" t="s">
        <v>576</v>
      </c>
      <c r="DN24" s="18" t="s">
        <v>584</v>
      </c>
      <c r="DO24" s="18" t="str">
        <f>SUBSTITUTE(DO22,",",".")</f>
        <v>-2</v>
      </c>
      <c r="DP24" s="18" t="str">
        <f>IF(DO22=DO23,". Y"," Y")</f>
        <v>. Y</v>
      </c>
      <c r="DQ24" s="18" t="str">
        <f>SUBSTITUTE(DQ22,",",".")</f>
        <v>-2</v>
      </c>
      <c r="DR24" s="18" t="str">
        <f>IF(DQ22=DQ23,".","")</f>
        <v>.</v>
      </c>
      <c r="DS24" s="18"/>
      <c r="DT24" s="18"/>
      <c r="DU24" s="18"/>
      <c r="DV24" s="18"/>
      <c r="DX24" s="49">
        <v>7</v>
      </c>
      <c r="DY24" s="18" t="s">
        <v>582</v>
      </c>
      <c r="DZ24" s="18" t="s">
        <v>576</v>
      </c>
      <c r="EA24" s="18" t="s">
        <v>584</v>
      </c>
      <c r="EB24" s="18" t="str">
        <f>SUBSTITUTE(EB22,",",".")</f>
        <v>-1.733</v>
      </c>
      <c r="EC24" s="18" t="str">
        <f>IF(EB22=EB23,". Y"," Y")</f>
        <v> Y</v>
      </c>
      <c r="ED24" s="18" t="str">
        <f>SUBSTITUTE(ED22,",",".")</f>
        <v>-1.733</v>
      </c>
      <c r="EE24" s="18">
        <f>IF(ED22=ED23,".","")</f>
      </c>
      <c r="EF24" s="18"/>
      <c r="EG24" s="18"/>
      <c r="EH24" s="18"/>
      <c r="EI24" s="18"/>
      <c r="EJ24" s="25"/>
      <c r="EK24" s="49">
        <v>7</v>
      </c>
      <c r="EL24" s="18" t="s">
        <v>582</v>
      </c>
      <c r="EM24" s="18" t="s">
        <v>576</v>
      </c>
      <c r="EN24" s="18" t="s">
        <v>584</v>
      </c>
      <c r="EO24" s="18" t="str">
        <f>SUBSTITUTE(EO22,",",".")</f>
        <v>-1.595</v>
      </c>
      <c r="EP24" s="18" t="str">
        <f>IF(EO22=EO23,". Y"," Y")</f>
        <v> Y</v>
      </c>
      <c r="EQ24" s="18" t="str">
        <f>SUBSTITUTE(EQ22,",",".")</f>
        <v>-1.595</v>
      </c>
      <c r="ER24" s="18">
        <f>IF(EQ22=EQ23,".","")</f>
      </c>
      <c r="ES24" s="18"/>
      <c r="ET24" s="18"/>
      <c r="EU24" s="18"/>
      <c r="EV24" s="18"/>
      <c r="EW24" s="25"/>
      <c r="FM24" s="49">
        <v>7</v>
      </c>
      <c r="FN24" s="33" t="s">
        <v>585</v>
      </c>
      <c r="FO24" s="33" t="s">
        <v>584</v>
      </c>
      <c r="FP24" s="18" t="str">
        <f>SUBSTITUTE(FP22,",",".")</f>
        <v>4.046</v>
      </c>
      <c r="FQ24" s="18" t="str">
        <f>IF(FP22=FP23,". Y"," Y")</f>
        <v> Y</v>
      </c>
      <c r="FR24" s="18" t="str">
        <f>SUBSTITUTE(FR22,",",".")</f>
        <v>-4.069</v>
      </c>
      <c r="FS24" s="18" t="str">
        <f>IF(FR22=FR23,". Z"," Z")</f>
        <v> Z</v>
      </c>
      <c r="FT24" s="18" t="str">
        <f>SUBSTITUTE(FT22,",",".")</f>
        <v>0.75</v>
      </c>
      <c r="FU24" s="18" t="str">
        <f>IF(FT22=FT23,". I"," I")</f>
        <v> I</v>
      </c>
      <c r="FV24" s="18" t="str">
        <f>SUBSTITUTE(FV22,",",".")</f>
        <v>4.046</v>
      </c>
      <c r="FW24" s="18" t="str">
        <f>IF(FV22=FV23,". J"," J")</f>
        <v> J</v>
      </c>
      <c r="FX24" s="18" t="str">
        <f>SUBSTITUTE(FX22,",",".")</f>
        <v>-0.023</v>
      </c>
      <c r="FY24" s="18">
        <f>IF(FX22=FX23,".","")</f>
      </c>
      <c r="FZ24" s="49">
        <v>7</v>
      </c>
      <c r="GA24" s="33" t="s">
        <v>585</v>
      </c>
      <c r="GB24" s="33" t="s">
        <v>584</v>
      </c>
      <c r="GC24" s="18" t="str">
        <f>SUBSTITUTE(GC22,",",".")</f>
        <v>3.512</v>
      </c>
      <c r="GD24" s="18" t="str">
        <f>IF(GC22=GC23,". Y"," Y")</f>
        <v> Y</v>
      </c>
      <c r="GE24" s="18" t="str">
        <f>SUBSTITUTE(GE22,",",".")</f>
        <v>-3.535</v>
      </c>
      <c r="GF24" s="18" t="str">
        <f>IF(GE22=GE23,". Z"," Z")</f>
        <v> Z</v>
      </c>
      <c r="GG24" s="18" t="str">
        <f>SUBSTITUTE(GG22,",",".")</f>
        <v>0.75</v>
      </c>
      <c r="GH24" s="18" t="str">
        <f>IF(GG22=GG23,". I"," I")</f>
        <v> I</v>
      </c>
      <c r="GI24" s="18" t="str">
        <f>SUBSTITUTE(GI22,",",".")</f>
        <v>3.512</v>
      </c>
      <c r="GJ24" s="18" t="str">
        <f>IF(GI22=GI23,". J"," J")</f>
        <v> J</v>
      </c>
      <c r="GK24" s="18" t="str">
        <f>SUBSTITUTE(GK22,",",".")</f>
        <v>-0.023</v>
      </c>
      <c r="GL24" s="18">
        <f>IF(GK22=GK23,".","")</f>
      </c>
      <c r="GM24" s="49">
        <v>7</v>
      </c>
      <c r="GN24" s="33" t="s">
        <v>585</v>
      </c>
      <c r="GO24" s="33" t="s">
        <v>584</v>
      </c>
      <c r="GP24" s="18" t="str">
        <f>SUBSTITUTE(GP22,",",".")</f>
        <v>3.236</v>
      </c>
      <c r="GQ24" s="18" t="str">
        <f>IF(GP22=GP23,". Y"," Y")</f>
        <v> Y</v>
      </c>
      <c r="GR24" s="18" t="str">
        <f>SUBSTITUTE(GR22,",",".")</f>
        <v>-3.259</v>
      </c>
      <c r="GS24" s="18" t="str">
        <f>IF(GR22=GR23,". Z"," Z")</f>
        <v> Z</v>
      </c>
      <c r="GT24" s="18" t="str">
        <f>SUBSTITUTE(GT22,",",".")</f>
        <v>0.75</v>
      </c>
      <c r="GU24" s="18" t="str">
        <f>IF(GT22=GT23,". I"," I")</f>
        <v> I</v>
      </c>
      <c r="GV24" s="18" t="str">
        <f>SUBSTITUTE(GV22,",",".")</f>
        <v>3.236</v>
      </c>
      <c r="GW24" s="18" t="str">
        <f>IF(GV22=GV23,". J"," J")</f>
        <v> J</v>
      </c>
      <c r="GX24" s="18" t="str">
        <f>SUBSTITUTE(GX22,",",".")</f>
        <v>-0.023</v>
      </c>
      <c r="GY24" s="18">
        <f>IF(GX22=GX23,".","")</f>
      </c>
      <c r="HF24" s="49">
        <v>7</v>
      </c>
      <c r="HG24" s="33" t="str">
        <f>IF(FP19=FP20,". C"," C")</f>
        <v> C</v>
      </c>
      <c r="HH24" s="49">
        <v>7</v>
      </c>
      <c r="HI24" s="33" t="str">
        <f>IF(GC19=GC20,". C"," C")</f>
        <v> C</v>
      </c>
      <c r="HJ24" s="49">
        <v>7</v>
      </c>
      <c r="HK24" s="33" t="str">
        <f>IF(GP19=GP20,". C"," C")</f>
        <v> C</v>
      </c>
    </row>
    <row r="25" spans="1:216" ht="15.75" customHeight="1">
      <c r="A25" s="65"/>
      <c r="B25" s="70" t="str">
        <f t="shared" si="25"/>
        <v>V = cutting speed (m/min)</v>
      </c>
      <c r="C25" s="78">
        <f>BG3</f>
        <v>158</v>
      </c>
      <c r="D25" s="73"/>
      <c r="E25" s="72">
        <v>8</v>
      </c>
      <c r="F25" s="64">
        <f>IF(BY69=0,"",BY69)</f>
      </c>
      <c r="G25" s="64"/>
      <c r="J25" s="87"/>
      <c r="Z25" s="98"/>
      <c r="AC25" s="120"/>
      <c r="AF25" s="4">
        <v>24</v>
      </c>
      <c r="AG25" s="4">
        <v>1</v>
      </c>
      <c r="AH25" s="4">
        <v>1</v>
      </c>
      <c r="AI25" s="4">
        <v>8</v>
      </c>
      <c r="AJ25" t="s">
        <v>1920</v>
      </c>
      <c r="AK25">
        <v>10</v>
      </c>
      <c r="AL25">
        <v>10</v>
      </c>
      <c r="AM25">
        <v>3</v>
      </c>
      <c r="AN25">
        <v>18</v>
      </c>
      <c r="AO25">
        <v>27.52</v>
      </c>
      <c r="AP25">
        <v>76</v>
      </c>
      <c r="AQ25">
        <v>11.9</v>
      </c>
      <c r="AS25" s="38">
        <f t="shared" si="0"/>
        <v>24</v>
      </c>
      <c r="AT25" s="25" t="b">
        <f t="shared" si="1"/>
        <v>0</v>
      </c>
      <c r="AU25" s="25" t="b">
        <f t="shared" si="2"/>
        <v>0</v>
      </c>
      <c r="AV25" s="25" t="b">
        <f t="shared" si="4"/>
        <v>0</v>
      </c>
      <c r="AW25" s="25" t="b">
        <f t="shared" si="5"/>
        <v>0</v>
      </c>
      <c r="BC25" s="25">
        <v>23</v>
      </c>
      <c r="BD25" s="6">
        <v>138</v>
      </c>
      <c r="BE25" s="8">
        <v>1</v>
      </c>
      <c r="BG25" s="7" t="s">
        <v>855</v>
      </c>
      <c r="BH25" s="11">
        <f>BH24*1.25</f>
        <v>0.0990338030220001</v>
      </c>
      <c r="BJ25" s="14">
        <f t="shared" si="10"/>
        <v>19.688164771227406</v>
      </c>
      <c r="BK25" s="11">
        <f t="shared" si="11"/>
        <v>0.0814027493868399</v>
      </c>
      <c r="BM25" s="10"/>
      <c r="BN25" s="10">
        <f>(BR48+0.5)*BN24*0.67</f>
        <v>117.25</v>
      </c>
      <c r="BU25" s="33">
        <v>1000122</v>
      </c>
      <c r="BV25" s="33">
        <f t="shared" si="23"/>
        <v>0</v>
      </c>
      <c r="BX25" s="39"/>
      <c r="BY25" s="45"/>
      <c r="BZ25" s="45"/>
      <c r="CL25" s="44"/>
      <c r="DK25" s="49"/>
      <c r="DL25" s="18"/>
      <c r="DM25" s="18"/>
      <c r="DN25" s="11">
        <f>-DO7-DR13-DR16-DR19</f>
        <v>34.25</v>
      </c>
      <c r="DO25" s="18"/>
      <c r="DP25" s="18"/>
      <c r="DQ25" s="18"/>
      <c r="DR25" s="18"/>
      <c r="DS25" s="18"/>
      <c r="DT25" s="18"/>
      <c r="DU25" s="18"/>
      <c r="DV25" s="18"/>
      <c r="DX25" s="49"/>
      <c r="DY25" s="18"/>
      <c r="DZ25" s="18"/>
      <c r="EA25" s="11">
        <f>-EE13-EE16-EE19</f>
        <v>-3.75</v>
      </c>
      <c r="EB25" s="18"/>
      <c r="EC25" s="18"/>
      <c r="ED25" s="18"/>
      <c r="EE25" s="18"/>
      <c r="EF25" s="18"/>
      <c r="EG25" s="18"/>
      <c r="EH25" s="18"/>
      <c r="EI25" s="18"/>
      <c r="EJ25" s="25"/>
      <c r="EK25" s="49"/>
      <c r="EL25" s="18"/>
      <c r="EM25" s="18"/>
      <c r="EN25" s="11">
        <f>-ER13-ER16-ER19</f>
        <v>-3.75</v>
      </c>
      <c r="EO25" s="18"/>
      <c r="EP25" s="18"/>
      <c r="EQ25" s="18"/>
      <c r="ER25" s="18"/>
      <c r="ES25" s="18"/>
      <c r="ET25" s="18"/>
      <c r="EU25" s="18"/>
      <c r="EV25" s="18"/>
      <c r="EW25" s="25"/>
      <c r="FP25" s="33">
        <f>-(FR22+FX22)</f>
        <v>4.091999999999999</v>
      </c>
      <c r="FR25" s="33">
        <f>-FR22</f>
        <v>4.068999999999999</v>
      </c>
      <c r="FT25" s="33">
        <f>FT16</f>
        <v>0.75</v>
      </c>
      <c r="FV25" s="33">
        <f>FX16</f>
        <v>0.023</v>
      </c>
      <c r="FX25" s="33">
        <f>FR25</f>
        <v>4.068999999999999</v>
      </c>
      <c r="GC25" s="33">
        <f>-(GE22+GK22)</f>
        <v>3.5580000000000003</v>
      </c>
      <c r="GE25" s="33">
        <f>-GE22</f>
        <v>3.535</v>
      </c>
      <c r="GG25" s="33">
        <f>GG16</f>
        <v>0.75</v>
      </c>
      <c r="GI25" s="33">
        <f>GK16</f>
        <v>0.023</v>
      </c>
      <c r="GK25" s="33">
        <f>GE25</f>
        <v>3.535</v>
      </c>
      <c r="GP25" s="33">
        <f>-(GR22+GX22)</f>
        <v>3.2820000000000005</v>
      </c>
      <c r="GR25" s="33">
        <f>-GR22</f>
        <v>3.2590000000000003</v>
      </c>
      <c r="GT25" s="33">
        <f>GT16</f>
        <v>0.75</v>
      </c>
      <c r="GV25" s="33">
        <f>GX16</f>
        <v>0.023</v>
      </c>
      <c r="GX25" s="33">
        <f>GR25</f>
        <v>3.2590000000000003</v>
      </c>
      <c r="HF25" s="49"/>
      <c r="HH25" s="49"/>
    </row>
    <row r="26" spans="1:206" ht="15.75" customHeight="1">
      <c r="A26" s="65"/>
      <c r="B26" s="70" t="str">
        <f t="shared" si="25"/>
        <v>Fz = feed/tooth (mm/tooth)</v>
      </c>
      <c r="C26" s="79">
        <f>BH28</f>
        <v>0.04951690151100004</v>
      </c>
      <c r="D26" s="80"/>
      <c r="E26" s="72">
        <v>9</v>
      </c>
      <c r="F26" s="64">
        <f>IF(BY72=0,"",BY72)</f>
      </c>
      <c r="G26" s="64"/>
      <c r="J26" s="87"/>
      <c r="Z26" s="98"/>
      <c r="AC26" s="120"/>
      <c r="AF26" s="4">
        <v>25</v>
      </c>
      <c r="AG26" s="4">
        <v>1</v>
      </c>
      <c r="AH26" s="4">
        <v>1</v>
      </c>
      <c r="AI26" s="4">
        <v>8</v>
      </c>
      <c r="AJ26" t="s">
        <v>1921</v>
      </c>
      <c r="AK26">
        <v>8</v>
      </c>
      <c r="AL26">
        <v>8</v>
      </c>
      <c r="AM26">
        <v>3</v>
      </c>
      <c r="AN26">
        <v>20</v>
      </c>
      <c r="AO26">
        <v>20.96</v>
      </c>
      <c r="AP26">
        <v>63</v>
      </c>
      <c r="AQ26">
        <v>9.7</v>
      </c>
      <c r="AS26" s="38">
        <f t="shared" si="0"/>
        <v>25</v>
      </c>
      <c r="AT26" s="25" t="b">
        <f t="shared" si="1"/>
        <v>0</v>
      </c>
      <c r="AU26" s="25" t="b">
        <f t="shared" si="2"/>
        <v>0</v>
      </c>
      <c r="AV26" s="25" t="b">
        <f t="shared" si="4"/>
        <v>0</v>
      </c>
      <c r="AW26" s="25" t="b">
        <f t="shared" si="5"/>
        <v>0</v>
      </c>
      <c r="BC26" s="25">
        <v>24</v>
      </c>
      <c r="BD26" s="6">
        <v>63</v>
      </c>
      <c r="BE26" s="8">
        <v>0.8</v>
      </c>
      <c r="BH26" s="11">
        <f>IF(BH29=1,BH23,IF(BH29=2,BH24,IF(BH29=3,BH25)))</f>
        <v>0.04951690151100004</v>
      </c>
      <c r="BJ26" s="14">
        <f t="shared" si="10"/>
        <v>21.853862896062424</v>
      </c>
      <c r="BK26" s="11">
        <f t="shared" si="11"/>
        <v>0.0895430243255239</v>
      </c>
      <c r="BM26" s="10"/>
      <c r="BN26" s="10">
        <f>ROUND(BN25,1)</f>
        <v>117.3</v>
      </c>
      <c r="BU26" s="33">
        <v>1000132</v>
      </c>
      <c r="BV26" s="33">
        <f t="shared" si="23"/>
        <v>0</v>
      </c>
      <c r="BX26" s="39"/>
      <c r="BY26" s="45"/>
      <c r="BZ26" s="45"/>
      <c r="CL26" s="44"/>
      <c r="DN26" s="25">
        <f>INT(DN25)</f>
        <v>34</v>
      </c>
      <c r="DX26" s="46"/>
      <c r="DY26"/>
      <c r="DZ26"/>
      <c r="EA26" s="25">
        <f>INT(EA25)</f>
        <v>-4</v>
      </c>
      <c r="EB26"/>
      <c r="EC26"/>
      <c r="ED26"/>
      <c r="EE26"/>
      <c r="EF26"/>
      <c r="EG26"/>
      <c r="EH26"/>
      <c r="EI26"/>
      <c r="EJ26" s="25"/>
      <c r="EN26" s="25">
        <f>INT(EN25)</f>
        <v>-4</v>
      </c>
      <c r="EW26" s="25"/>
      <c r="FP26" s="25">
        <f>INT(FP25)</f>
        <v>4</v>
      </c>
      <c r="FR26" s="25">
        <f>INT(FR25)</f>
        <v>4</v>
      </c>
      <c r="FT26" s="25">
        <f>INT(FT25)</f>
        <v>0</v>
      </c>
      <c r="FV26" s="25">
        <f>INT(FV25)</f>
        <v>0</v>
      </c>
      <c r="FX26" s="25">
        <f>INT(FX25)</f>
        <v>4</v>
      </c>
      <c r="GC26" s="25">
        <f>INT(GC25)</f>
        <v>3</v>
      </c>
      <c r="GE26" s="25">
        <f>INT(GE25)</f>
        <v>3</v>
      </c>
      <c r="GG26" s="25">
        <f>INT(GG25)</f>
        <v>0</v>
      </c>
      <c r="GI26" s="25">
        <f>INT(GI25)</f>
        <v>0</v>
      </c>
      <c r="GK26" s="25">
        <f>INT(GK25)</f>
        <v>3</v>
      </c>
      <c r="GP26" s="25">
        <f>INT(GP25)</f>
        <v>3</v>
      </c>
      <c r="GR26" s="25">
        <f>INT(GR25)</f>
        <v>3</v>
      </c>
      <c r="GT26" s="25">
        <f>INT(GT25)</f>
        <v>0</v>
      </c>
      <c r="GV26" s="25">
        <f>INT(GV25)</f>
        <v>0</v>
      </c>
      <c r="GX26" s="25">
        <f>INT(GX25)</f>
        <v>3</v>
      </c>
    </row>
    <row r="27" spans="1:219" ht="15.75" customHeight="1">
      <c r="A27" s="65"/>
      <c r="B27" s="70" t="str">
        <f t="shared" si="25"/>
        <v>Number of passes, radial (max 3)</v>
      </c>
      <c r="C27" s="75">
        <f>BR30</f>
        <v>1</v>
      </c>
      <c r="D27" s="74"/>
      <c r="E27" s="72">
        <v>10</v>
      </c>
      <c r="F27" s="64">
        <f>IF(BY75=0,"",BY75)</f>
      </c>
      <c r="G27" s="64"/>
      <c r="H27" s="61">
        <v>4</v>
      </c>
      <c r="I27" s="5" t="str">
        <f>LOOKUP(H$27,J$2:AD$2,J27:AD27)</f>
        <v>Steel, Low Carbon, &lt; 0,25% C, &lt; 400 N/mm2</v>
      </c>
      <c r="J27" s="87" t="s">
        <v>1045</v>
      </c>
      <c r="K27" s="5" t="s">
        <v>1118</v>
      </c>
      <c r="L27" s="5" t="s">
        <v>1261</v>
      </c>
      <c r="M27" s="5" t="s">
        <v>728</v>
      </c>
      <c r="N27" s="5" t="s">
        <v>846</v>
      </c>
      <c r="O27" t="s">
        <v>1740</v>
      </c>
      <c r="P27" s="34" t="s">
        <v>352</v>
      </c>
      <c r="Q27" s="5" t="s">
        <v>1188</v>
      </c>
      <c r="R27" s="5" t="s">
        <v>1802</v>
      </c>
      <c r="S27" s="5" t="s">
        <v>1273</v>
      </c>
      <c r="T27" s="34" t="s">
        <v>1511</v>
      </c>
      <c r="U27" s="5" t="s">
        <v>366</v>
      </c>
      <c r="V27" s="5" t="s">
        <v>1400</v>
      </c>
      <c r="W27" s="34" t="s">
        <v>681</v>
      </c>
      <c r="X27" s="34" t="s">
        <v>93</v>
      </c>
      <c r="Y27" s="5" t="s">
        <v>757</v>
      </c>
      <c r="Z27" s="98" t="s">
        <v>1377</v>
      </c>
      <c r="AA27" s="112" t="s">
        <v>1390</v>
      </c>
      <c r="AB27" s="101" t="s">
        <v>499</v>
      </c>
      <c r="AC27" s="119" t="s">
        <v>119</v>
      </c>
      <c r="AD27" s="107" t="s">
        <v>167</v>
      </c>
      <c r="AF27" s="4">
        <v>26</v>
      </c>
      <c r="AG27" s="4">
        <v>2</v>
      </c>
      <c r="AH27" s="4">
        <v>4</v>
      </c>
      <c r="AI27" s="4">
        <v>6</v>
      </c>
      <c r="AJ27" t="s">
        <v>1922</v>
      </c>
      <c r="AK27">
        <v>8</v>
      </c>
      <c r="AL27">
        <v>8</v>
      </c>
      <c r="AM27">
        <v>3</v>
      </c>
      <c r="AN27">
        <v>18</v>
      </c>
      <c r="AO27">
        <v>16.23</v>
      </c>
      <c r="AP27">
        <v>63</v>
      </c>
      <c r="AQ27">
        <v>10.5</v>
      </c>
      <c r="AS27" s="38">
        <f t="shared" si="0"/>
        <v>26</v>
      </c>
      <c r="AT27" s="25" t="b">
        <f t="shared" si="1"/>
        <v>0</v>
      </c>
      <c r="AU27" s="25" t="b">
        <f t="shared" si="2"/>
        <v>0</v>
      </c>
      <c r="AV27" s="25" t="b">
        <f t="shared" si="4"/>
        <v>0</v>
      </c>
      <c r="AW27" s="25" t="b">
        <f t="shared" si="5"/>
        <v>0</v>
      </c>
      <c r="BC27" s="25">
        <v>25</v>
      </c>
      <c r="BD27" s="6">
        <v>625</v>
      </c>
      <c r="BE27" s="8">
        <v>1.4</v>
      </c>
      <c r="BG27" s="7" t="s">
        <v>1034</v>
      </c>
      <c r="BH27" s="11">
        <f>(BR48*0.33)*BH26</f>
        <v>0.19608692998356017</v>
      </c>
      <c r="BJ27" s="14">
        <f t="shared" si="10"/>
        <v>24.257787814629292</v>
      </c>
      <c r="BK27" s="11">
        <f t="shared" si="11"/>
        <v>0.09849732675807629</v>
      </c>
      <c r="BM27" s="10"/>
      <c r="BN27" s="10">
        <f>ROUND(BN25,0)</f>
        <v>117</v>
      </c>
      <c r="BU27" s="33">
        <v>1001012</v>
      </c>
      <c r="BV27" s="33">
        <f t="shared" si="23"/>
        <v>0</v>
      </c>
      <c r="BX27" s="39">
        <v>8</v>
      </c>
      <c r="BY27" s="45" t="str">
        <f>LOOKUP(BV$54,BZ$5:DJ$5,BZ27:DJ27)</f>
        <v>G00 Z34.25</v>
      </c>
      <c r="BZ27" s="45"/>
      <c r="CA27" s="44" t="str">
        <f>CONCATENATE(DL27,DM27,DN27,DO27)</f>
        <v>G00 Z34.25</v>
      </c>
      <c r="CB27" s="44" t="str">
        <f>CONCATENATE(BX27,DL94,DM94,DN94)</f>
        <v>8 CP IPA+360 IZ+3 DR+</v>
      </c>
      <c r="CC27" s="44" t="str">
        <f>CONCATENATE(DY27,DZ27,EA27,EB27)</f>
        <v>G00 Z-3.75</v>
      </c>
      <c r="CD27" s="44" t="str">
        <f>CB27</f>
        <v>8 CP IPA+360 IZ+3 DR+</v>
      </c>
      <c r="CE27" s="44" t="str">
        <f>CONCATENATE(EL27,EM27,EN27,EO27)</f>
        <v>G00 Z-3.75</v>
      </c>
      <c r="CF27" s="44" t="str">
        <f>CD27</f>
        <v>8 CP IPA+360 IZ+3 DR+</v>
      </c>
      <c r="CG27" s="44" t="str">
        <f>CA18</f>
        <v>G03 X0. Y0. Z3. I-4. J0.</v>
      </c>
      <c r="CH27" s="44" t="str">
        <f>CONCATENATE(BX27,DL85,DM85)</f>
        <v>8 CC IX+0 IY+2</v>
      </c>
      <c r="CI27" s="44" t="str">
        <f>CC18</f>
        <v>G03 X0. Y0. Z3. I-3.466 J0.</v>
      </c>
      <c r="CJ27" s="44" t="str">
        <f>CONCATENATE(BX27,DY85,DZ85)</f>
        <v>8 CC IX+0 IY+1.733</v>
      </c>
      <c r="CK27" s="4" t="str">
        <f>CE18</f>
        <v>G03 X0. Y0. Z3. I-3.19 J0.</v>
      </c>
      <c r="CL27" s="4" t="str">
        <f>CONCATENATE(BX27,EL85,EM85)</f>
        <v>8 CC IX+0 IY+1.595</v>
      </c>
      <c r="CM27" s="4" t="str">
        <f>CA18</f>
        <v>G03 X0. Y0. Z3. I-4. J0.</v>
      </c>
      <c r="CN27" s="44" t="str">
        <f>CONCATENATE(BX27,EY85)</f>
        <v>8 FN 0: Q2 =+0</v>
      </c>
      <c r="CO27" s="44" t="str">
        <f>CC18</f>
        <v>G03 X0. Y0. Z3. I-3.466 J0.</v>
      </c>
      <c r="CP27" s="44" t="str">
        <f>CN27</f>
        <v>8 FN 0: Q2 =+0</v>
      </c>
      <c r="CQ27" s="44" t="str">
        <f>CE18</f>
        <v>G03 X0. Y0. Z3. I-3.19 J0.</v>
      </c>
      <c r="CR27" s="152" t="str">
        <f>CN27</f>
        <v>8 FN 0: Q2 =+0</v>
      </c>
      <c r="CS27" s="44" t="str">
        <f>CONCATENATE(FN27,FO27,FP27,FQ27,FR27,FS27,FT27,FU27,FV27,FW27,FX27,FY27)</f>
        <v>G03 X4.092 Y4.069 Z0.75 I0.023 J4.069</v>
      </c>
      <c r="CT27" s="152" t="str">
        <f>CONCATENATE(BX27,DL88,FT18,DN88)</f>
        <v>8 CP IPA+90 IZ+0.75 DR+</v>
      </c>
      <c r="CU27" s="44" t="str">
        <f>CONCATENATE(GA27,GB27,GC27,GD27,GE27,GF27,GG27,GH27,GI27,GJ27,GK27,GL27)</f>
        <v>G03 X3.558 Y3.535 Z0.75 I0.023 J3.535</v>
      </c>
      <c r="CV27" s="152" t="str">
        <f>CT27</f>
        <v>8 CP IPA+90 IZ+0.75 DR+</v>
      </c>
      <c r="CW27" s="44" t="str">
        <f>CONCATENATE(GN27,GO27,GP27,GQ27,GR27,GS27,GT27,GU27,GV27,GW27,GX27,GY27)</f>
        <v>G03 X3.282 Y3.259 Z0.75 I0.023 J3.259</v>
      </c>
      <c r="CX27" s="152" t="str">
        <f>CV27</f>
        <v>8 CP IPA+90 IZ+0.75 DR+</v>
      </c>
      <c r="CY27" s="44" t="str">
        <f>CONCATENATE(DL24,DM24,DN24,DO24,HA15,DQ24,DR24)</f>
        <v>G01 G40 X-2. C-2.</v>
      </c>
      <c r="CZ27" s="44" t="str">
        <f>CONCATENATE(DY24,DZ24,EA24,EB24,HC15,ED24,EE24)</f>
        <v>G01 G40 X-1.733 C-1.733</v>
      </c>
      <c r="DA27" s="44" t="str">
        <f>CONCATENATE(EL24,EM24,EN24,EO24,HE15,EQ24,ER24)</f>
        <v>G01 G40 X-1.595 C-1.595</v>
      </c>
      <c r="DB27" s="44" t="str">
        <f>CY18</f>
        <v>G03 X2. C2. Z0.375 I0. J2.</v>
      </c>
      <c r="DC27" s="44" t="str">
        <f>CZ18</f>
        <v>G03 X1.733 C1.733 Z0.375 I0. J1.733</v>
      </c>
      <c r="DD27" s="44" t="str">
        <f>DA18</f>
        <v>G03 X1.595 C1.595 Z0.375 I0. J1.595</v>
      </c>
      <c r="DE27" s="44" t="str">
        <f>CM24</f>
        <v>WHILE[#2LT#1]DO1</v>
      </c>
      <c r="DF27" s="44" t="str">
        <f>DE27</f>
        <v>WHILE[#2LT#1]DO1</v>
      </c>
      <c r="DG27" s="44" t="str">
        <f>DF27</f>
        <v>WHILE[#2LT#1]DO1</v>
      </c>
      <c r="DH27" s="44" t="str">
        <f>CONCATENATE(FN24,FO24,FP24,HG27,FR24,FS24,FT24,FU24,FV24,FW24,FX24,FY24)</f>
        <v>G03 X4.046 C-4.069 Z0.75 I4.046 J-0.023</v>
      </c>
      <c r="DI27" s="44" t="str">
        <f>CONCATENATE(GA24,GB24,GC24,HI27,GE24,GF24,GG24,GH24,GI24,GJ24,GK24,GL24)</f>
        <v>G03 X3.512 C-3.535 Z0.75 I3.512 J-0.023</v>
      </c>
      <c r="DJ27" s="44" t="str">
        <f>CONCATENATE(GN24,GO24,GP24,HK27,GR24,GS24,GT24,GU24,GV24,GW24,GX24,GY24)</f>
        <v>G03 X3.236 C-3.259 Z0.75 I3.236 J-0.023</v>
      </c>
      <c r="DK27" s="49">
        <v>8</v>
      </c>
      <c r="DL27" s="18" t="s">
        <v>579</v>
      </c>
      <c r="DM27" s="18" t="s">
        <v>581</v>
      </c>
      <c r="DN27" s="18" t="str">
        <f>SUBSTITUTE(DN25,",",".")</f>
        <v>34.25</v>
      </c>
      <c r="DO27" s="18">
        <f>IF(DN25=DN26,".","")</f>
      </c>
      <c r="DP27" s="18"/>
      <c r="DQ27" s="18"/>
      <c r="DR27" s="18"/>
      <c r="DS27" s="18"/>
      <c r="DT27" s="18"/>
      <c r="DU27" s="18"/>
      <c r="DV27" s="18"/>
      <c r="DX27" s="49">
        <v>8</v>
      </c>
      <c r="DY27" s="18" t="s">
        <v>579</v>
      </c>
      <c r="DZ27" s="18" t="s">
        <v>581</v>
      </c>
      <c r="EA27" s="18" t="str">
        <f>SUBSTITUTE(EA25,",",".")</f>
        <v>-3.75</v>
      </c>
      <c r="EB27" s="18">
        <f>IF(EA25=EA26,".","")</f>
      </c>
      <c r="EC27" s="18"/>
      <c r="ED27" s="18"/>
      <c r="EE27" s="18"/>
      <c r="EF27" s="18"/>
      <c r="EG27" s="18"/>
      <c r="EH27" s="18"/>
      <c r="EI27" s="18"/>
      <c r="EJ27" s="25"/>
      <c r="EK27" s="49">
        <v>8</v>
      </c>
      <c r="EL27" s="18" t="s">
        <v>579</v>
      </c>
      <c r="EM27" s="18" t="s">
        <v>581</v>
      </c>
      <c r="EN27" s="18" t="str">
        <f>SUBSTITUTE(EN25,",",".")</f>
        <v>-3.75</v>
      </c>
      <c r="EO27" s="18">
        <f>IF(EN25=EN26,".","")</f>
      </c>
      <c r="EP27" s="18"/>
      <c r="EQ27" s="18"/>
      <c r="ER27" s="18"/>
      <c r="ES27" s="18"/>
      <c r="ET27" s="18"/>
      <c r="EU27" s="18"/>
      <c r="EV27" s="18"/>
      <c r="EW27" s="25"/>
      <c r="FM27" s="49">
        <v>8</v>
      </c>
      <c r="FN27" s="33" t="s">
        <v>585</v>
      </c>
      <c r="FO27" s="33" t="s">
        <v>584</v>
      </c>
      <c r="FP27" s="18" t="str">
        <f>SUBSTITUTE(FP25,",",".")</f>
        <v>4.092</v>
      </c>
      <c r="FQ27" s="18" t="str">
        <f>IF(FP25=FP26,". Y"," Y")</f>
        <v> Y</v>
      </c>
      <c r="FR27" s="18" t="str">
        <f>SUBSTITUTE(FR25,",",".")</f>
        <v>4.069</v>
      </c>
      <c r="FS27" s="18" t="str">
        <f>IF(FR25=FR26,". Z"," Z")</f>
        <v> Z</v>
      </c>
      <c r="FT27" s="18" t="str">
        <f>SUBSTITUTE(FT25,",",".")</f>
        <v>0.75</v>
      </c>
      <c r="FU27" s="18" t="str">
        <f>IF(FT25=FT26,". I"," I")</f>
        <v> I</v>
      </c>
      <c r="FV27" s="18" t="str">
        <f>SUBSTITUTE(FV25,",",".")</f>
        <v>0.023</v>
      </c>
      <c r="FW27" s="18" t="str">
        <f>IF(FV25=FV26,". J"," J")</f>
        <v> J</v>
      </c>
      <c r="FX27" s="18" t="str">
        <f>SUBSTITUTE(FX25,",",".")</f>
        <v>4.069</v>
      </c>
      <c r="FY27" s="18">
        <f>IF(FX25=FX26,".","")</f>
      </c>
      <c r="FZ27" s="49">
        <v>8</v>
      </c>
      <c r="GA27" s="33" t="s">
        <v>585</v>
      </c>
      <c r="GB27" s="33" t="s">
        <v>584</v>
      </c>
      <c r="GC27" s="18" t="str">
        <f>SUBSTITUTE(GC25,",",".")</f>
        <v>3.558</v>
      </c>
      <c r="GD27" s="18" t="str">
        <f>IF(GC25=GC26,". Y"," Y")</f>
        <v> Y</v>
      </c>
      <c r="GE27" s="18" t="str">
        <f>SUBSTITUTE(GE25,",",".")</f>
        <v>3.535</v>
      </c>
      <c r="GF27" s="18" t="str">
        <f>IF(GE25=GE26,". Z"," Z")</f>
        <v> Z</v>
      </c>
      <c r="GG27" s="18" t="str">
        <f>SUBSTITUTE(GG25,",",".")</f>
        <v>0.75</v>
      </c>
      <c r="GH27" s="18" t="str">
        <f>IF(GG25=GG26,". I"," I")</f>
        <v> I</v>
      </c>
      <c r="GI27" s="18" t="str">
        <f>SUBSTITUTE(GI25,",",".")</f>
        <v>0.023</v>
      </c>
      <c r="GJ27" s="18" t="str">
        <f>IF(GI25=GI26,". J"," J")</f>
        <v> J</v>
      </c>
      <c r="GK27" s="18" t="str">
        <f>SUBSTITUTE(GK25,",",".")</f>
        <v>3.535</v>
      </c>
      <c r="GL27" s="18">
        <f>IF(GK25=GK26,".","")</f>
      </c>
      <c r="GM27" s="49">
        <v>8</v>
      </c>
      <c r="GN27" s="33" t="s">
        <v>585</v>
      </c>
      <c r="GO27" s="33" t="s">
        <v>584</v>
      </c>
      <c r="GP27" s="18" t="str">
        <f>SUBSTITUTE(GP25,",",".")</f>
        <v>3.282</v>
      </c>
      <c r="GQ27" s="18" t="str">
        <f>IF(GP25=GP26,". Y"," Y")</f>
        <v> Y</v>
      </c>
      <c r="GR27" s="18" t="str">
        <f>SUBSTITUTE(GR25,",",".")</f>
        <v>3.259</v>
      </c>
      <c r="GS27" s="18" t="str">
        <f>IF(GR25=GR26,". Z"," Z")</f>
        <v> Z</v>
      </c>
      <c r="GT27" s="18" t="str">
        <f>SUBSTITUTE(GT25,",",".")</f>
        <v>0.75</v>
      </c>
      <c r="GU27" s="18" t="str">
        <f>IF(GT25=GT26,". I"," I")</f>
        <v> I</v>
      </c>
      <c r="GV27" s="18" t="str">
        <f>SUBSTITUTE(GV25,",",".")</f>
        <v>0.023</v>
      </c>
      <c r="GW27" s="18" t="str">
        <f>IF(GV25=GV26,". J"," J")</f>
        <v> J</v>
      </c>
      <c r="GX27" s="18" t="str">
        <f>SUBSTITUTE(GX25,",",".")</f>
        <v>3.259</v>
      </c>
      <c r="GY27" s="18">
        <f>IF(GX25=GX26,".","")</f>
      </c>
      <c r="HF27" s="49">
        <v>8</v>
      </c>
      <c r="HG27" s="33" t="str">
        <f>IF(FP22=FP23,". C"," C")</f>
        <v> C</v>
      </c>
      <c r="HH27" s="49">
        <v>8</v>
      </c>
      <c r="HI27" s="33" t="str">
        <f>IF(GC22=GC23,". C"," C")</f>
        <v> C</v>
      </c>
      <c r="HJ27" s="49">
        <v>8</v>
      </c>
      <c r="HK27" s="33" t="str">
        <f>IF(GP22=GP23,". C"," C")</f>
        <v> C</v>
      </c>
    </row>
    <row r="28" spans="1:153" ht="15.75" customHeight="1">
      <c r="A28" s="65"/>
      <c r="B28" s="70" t="str">
        <f t="shared" si="25"/>
        <v>Number of passes, axial</v>
      </c>
      <c r="C28" s="69">
        <f>IF(BR42=2,BR48,BR9)</f>
        <v>1</v>
      </c>
      <c r="D28" s="64"/>
      <c r="E28" s="65"/>
      <c r="F28" s="64">
        <f>IF(BY78=0,"",BY78)</f>
      </c>
      <c r="G28" s="64"/>
      <c r="H28" t="s">
        <v>684</v>
      </c>
      <c r="I28" s="5" t="str">
        <f aca="true" t="shared" si="26" ref="I28:I55">LOOKUP(H$27,J$2:AD$2,J28:AD28)</f>
        <v>Steel, Medium Carbon, &lt; 0,55% C, &lt; 700 N/mm2</v>
      </c>
      <c r="J28" s="87" t="s">
        <v>1079</v>
      </c>
      <c r="K28" s="5" t="s">
        <v>921</v>
      </c>
      <c r="L28" s="5" t="s">
        <v>1196</v>
      </c>
      <c r="M28" s="5" t="s">
        <v>943</v>
      </c>
      <c r="N28" s="5" t="s">
        <v>827</v>
      </c>
      <c r="O28" t="s">
        <v>1741</v>
      </c>
      <c r="P28" s="34" t="s">
        <v>353</v>
      </c>
      <c r="Q28" s="5" t="s">
        <v>1189</v>
      </c>
      <c r="R28" s="5" t="s">
        <v>1803</v>
      </c>
      <c r="S28" s="5" t="s">
        <v>1332</v>
      </c>
      <c r="T28" s="34" t="s">
        <v>1512</v>
      </c>
      <c r="U28" s="5" t="s">
        <v>367</v>
      </c>
      <c r="V28" s="5" t="s">
        <v>1401</v>
      </c>
      <c r="W28" s="34" t="s">
        <v>682</v>
      </c>
      <c r="X28" s="34" t="s">
        <v>94</v>
      </c>
      <c r="Y28" s="5" t="s">
        <v>665</v>
      </c>
      <c r="Z28" s="98" t="s">
        <v>1472</v>
      </c>
      <c r="AA28" s="112" t="s">
        <v>1475</v>
      </c>
      <c r="AB28" s="101" t="s">
        <v>500</v>
      </c>
      <c r="AC28" s="119" t="s">
        <v>209</v>
      </c>
      <c r="AD28" s="107" t="s">
        <v>168</v>
      </c>
      <c r="AF28" s="4">
        <v>27</v>
      </c>
      <c r="AG28" s="4">
        <v>2</v>
      </c>
      <c r="AH28" s="4">
        <v>4</v>
      </c>
      <c r="AI28" s="4">
        <v>5</v>
      </c>
      <c r="AJ28" t="s">
        <v>1923</v>
      </c>
      <c r="AK28">
        <v>8</v>
      </c>
      <c r="AL28">
        <v>8</v>
      </c>
      <c r="AM28">
        <v>3</v>
      </c>
      <c r="AN28">
        <v>18</v>
      </c>
      <c r="AO28">
        <v>16.23</v>
      </c>
      <c r="AP28">
        <v>63</v>
      </c>
      <c r="AQ28">
        <v>10.5</v>
      </c>
      <c r="AS28" s="38">
        <f t="shared" si="0"/>
        <v>27</v>
      </c>
      <c r="AT28" s="25" t="b">
        <f t="shared" si="1"/>
        <v>0</v>
      </c>
      <c r="AU28" s="25" t="b">
        <f t="shared" si="2"/>
        <v>0</v>
      </c>
      <c r="AV28" s="25" t="b">
        <f t="shared" si="4"/>
        <v>0</v>
      </c>
      <c r="AW28" s="25" t="b">
        <f t="shared" si="5"/>
        <v>0</v>
      </c>
      <c r="AZ28" s="154" t="s">
        <v>1725</v>
      </c>
      <c r="BC28" s="25">
        <v>26</v>
      </c>
      <c r="BD28" s="6">
        <v>525</v>
      </c>
      <c r="BE28" s="8">
        <v>1.3</v>
      </c>
      <c r="BG28" s="7" t="s">
        <v>673</v>
      </c>
      <c r="BH28" s="11">
        <f>IF(BV8=1000,BH27,BH26)</f>
        <v>0.04951690151100004</v>
      </c>
      <c r="BJ28" s="14">
        <f t="shared" si="10"/>
        <v>26.926144474238516</v>
      </c>
      <c r="BK28" s="11">
        <f t="shared" si="11"/>
        <v>0.10834705943388392</v>
      </c>
      <c r="BM28" s="7" t="s">
        <v>791</v>
      </c>
      <c r="BN28" s="21">
        <f>IF(BN25&gt;=10,BN27,BN26)</f>
        <v>117</v>
      </c>
      <c r="BQ28" s="7" t="s">
        <v>981</v>
      </c>
      <c r="BR28" s="28">
        <f>BH3*BM65</f>
        <v>0.7360371889109237</v>
      </c>
      <c r="BU28" s="33">
        <v>1001022</v>
      </c>
      <c r="BV28" s="33">
        <f t="shared" si="23"/>
        <v>0</v>
      </c>
      <c r="BX28" s="39"/>
      <c r="CL28" s="44"/>
      <c r="DK28" s="49"/>
      <c r="DL28" s="18"/>
      <c r="DM28" s="18"/>
      <c r="DN28" s="18"/>
      <c r="DO28" s="18"/>
      <c r="DP28" s="18"/>
      <c r="DQ28" s="18"/>
      <c r="DR28" s="18"/>
      <c r="DS28" s="18"/>
      <c r="DT28" s="18"/>
      <c r="DU28" s="18"/>
      <c r="DV28" s="18"/>
      <c r="DX28" s="49"/>
      <c r="DY28" s="18"/>
      <c r="DZ28" s="18"/>
      <c r="EA28" s="18"/>
      <c r="EB28" s="18"/>
      <c r="EC28" s="18"/>
      <c r="ED28" s="18"/>
      <c r="EE28" s="18"/>
      <c r="EF28" s="18"/>
      <c r="EG28" s="18"/>
      <c r="EH28" s="18"/>
      <c r="EI28" s="18"/>
      <c r="EJ28" s="18"/>
      <c r="EK28" s="49"/>
      <c r="EL28" s="18"/>
      <c r="EM28" s="18"/>
      <c r="EN28" s="18"/>
      <c r="EO28" s="18">
        <f>BS69</f>
        <v>1.838</v>
      </c>
      <c r="EP28" s="18"/>
      <c r="EQ28" s="18">
        <f>-BS69</f>
        <v>-1.838</v>
      </c>
      <c r="ER28" s="18"/>
      <c r="ES28" s="18"/>
      <c r="ET28" s="18"/>
      <c r="EU28" s="18"/>
      <c r="EV28" s="18"/>
      <c r="EW28" s="25"/>
    </row>
    <row r="29" spans="1:153" ht="15.75" customHeight="1">
      <c r="A29" s="65"/>
      <c r="B29" s="70" t="str">
        <f t="shared" si="25"/>
        <v>N = spindle speed (rpm)</v>
      </c>
      <c r="C29" s="81">
        <f>ROUND(BG5*1000/(3.141592654*BG13),0)</f>
        <v>3143</v>
      </c>
      <c r="D29" s="64"/>
      <c r="E29" s="65"/>
      <c r="F29" s="64">
        <f>IF(BY81=0,"",BY81)</f>
      </c>
      <c r="G29" s="64"/>
      <c r="H29" t="s">
        <v>626</v>
      </c>
      <c r="I29" s="5" t="str">
        <f t="shared" si="26"/>
        <v>Steel, High Carbon, &lt; 0,85% C, &lt; 850 N/mm2</v>
      </c>
      <c r="J29" s="87" t="s">
        <v>1080</v>
      </c>
      <c r="K29" s="5" t="s">
        <v>1025</v>
      </c>
      <c r="L29" s="5" t="s">
        <v>1197</v>
      </c>
      <c r="M29" s="5" t="s">
        <v>787</v>
      </c>
      <c r="N29" s="5" t="s">
        <v>716</v>
      </c>
      <c r="O29" t="s">
        <v>1742</v>
      </c>
      <c r="P29" s="34" t="s">
        <v>354</v>
      </c>
      <c r="Q29" s="5" t="s">
        <v>1297</v>
      </c>
      <c r="R29" s="5" t="s">
        <v>1804</v>
      </c>
      <c r="S29" s="5" t="s">
        <v>1285</v>
      </c>
      <c r="T29" s="34" t="s">
        <v>1513</v>
      </c>
      <c r="U29" s="5" t="s">
        <v>368</v>
      </c>
      <c r="V29" s="5" t="s">
        <v>1514</v>
      </c>
      <c r="W29" s="34" t="s">
        <v>608</v>
      </c>
      <c r="X29" s="34" t="s">
        <v>95</v>
      </c>
      <c r="Y29" s="5" t="s">
        <v>881</v>
      </c>
      <c r="Z29" s="98" t="s">
        <v>1378</v>
      </c>
      <c r="AA29" s="112" t="s">
        <v>1462</v>
      </c>
      <c r="AB29" s="101" t="s">
        <v>501</v>
      </c>
      <c r="AC29" s="119" t="s">
        <v>210</v>
      </c>
      <c r="AD29" s="107" t="s">
        <v>169</v>
      </c>
      <c r="AF29" s="4">
        <v>28</v>
      </c>
      <c r="AG29" s="4">
        <v>1</v>
      </c>
      <c r="AH29" s="4">
        <v>1</v>
      </c>
      <c r="AI29" s="4">
        <v>7</v>
      </c>
      <c r="AJ29" t="s">
        <v>1924</v>
      </c>
      <c r="AK29">
        <v>8</v>
      </c>
      <c r="AL29">
        <v>8</v>
      </c>
      <c r="AM29">
        <v>3</v>
      </c>
      <c r="AN29">
        <v>18</v>
      </c>
      <c r="AO29">
        <v>16.23</v>
      </c>
      <c r="AP29">
        <v>63</v>
      </c>
      <c r="AQ29">
        <v>10.5</v>
      </c>
      <c r="AS29" s="38">
        <f t="shared" si="0"/>
        <v>28</v>
      </c>
      <c r="AT29" s="25" t="b">
        <f t="shared" si="1"/>
        <v>0</v>
      </c>
      <c r="AU29" s="25" t="b">
        <f t="shared" si="2"/>
        <v>0</v>
      </c>
      <c r="AV29" s="25" t="b">
        <f t="shared" si="4"/>
        <v>0</v>
      </c>
      <c r="AW29" s="25" t="b">
        <f t="shared" si="5"/>
        <v>0</v>
      </c>
      <c r="AZ29" s="153" t="s">
        <v>1724</v>
      </c>
      <c r="BC29" s="25">
        <v>27</v>
      </c>
      <c r="BD29" s="6">
        <v>360</v>
      </c>
      <c r="BE29" s="8">
        <v>1.2</v>
      </c>
      <c r="BG29" s="7" t="s">
        <v>825</v>
      </c>
      <c r="BH29" s="40">
        <f>IF(D27&gt;0,D27,C27)</f>
        <v>1</v>
      </c>
      <c r="BJ29" s="14">
        <f t="shared" si="10"/>
        <v>29.888020366404756</v>
      </c>
      <c r="BK29" s="11">
        <f t="shared" si="11"/>
        <v>0.11918176537727232</v>
      </c>
      <c r="BM29" s="7" t="s">
        <v>837</v>
      </c>
      <c r="BN29" s="18">
        <f>IF(BR42=2,BN28,BN23)</f>
        <v>14</v>
      </c>
      <c r="BU29" s="33">
        <v>1001032</v>
      </c>
      <c r="BV29" s="33">
        <f t="shared" si="23"/>
        <v>0</v>
      </c>
      <c r="BX29" s="39"/>
      <c r="CL29" s="44"/>
      <c r="DK29" s="49"/>
      <c r="DL29" s="18"/>
      <c r="DM29" s="18"/>
      <c r="DN29" s="18"/>
      <c r="DO29" s="18"/>
      <c r="DP29" s="18"/>
      <c r="DQ29" s="18"/>
      <c r="DR29" s="18"/>
      <c r="DS29" s="18"/>
      <c r="DT29" s="18"/>
      <c r="DU29" s="18"/>
      <c r="DV29" s="18"/>
      <c r="DX29" s="46"/>
      <c r="DY29" s="18"/>
      <c r="DZ29" s="18"/>
      <c r="EA29" s="18"/>
      <c r="EB29" s="18"/>
      <c r="EC29" s="18"/>
      <c r="ED29" s="18"/>
      <c r="EE29" s="18"/>
      <c r="EF29" s="18"/>
      <c r="EG29" s="18"/>
      <c r="EH29" s="18"/>
      <c r="EI29" s="18"/>
      <c r="EJ29" s="18"/>
      <c r="EO29" s="25">
        <f>INT(EO28)</f>
        <v>1</v>
      </c>
      <c r="EQ29" s="25">
        <f>INT(EQ28)</f>
        <v>-2</v>
      </c>
      <c r="EW29" s="25"/>
    </row>
    <row r="30" spans="1:219" ht="15.75" customHeight="1">
      <c r="A30" s="65"/>
      <c r="B30" s="70" t="str">
        <f t="shared" si="25"/>
        <v>FD = feed at thread diameter (mm/min)</v>
      </c>
      <c r="C30" s="69">
        <f>ROUND(BH31*BG15*C29,0)</f>
        <v>467</v>
      </c>
      <c r="D30" s="64"/>
      <c r="E30" s="65"/>
      <c r="F30" s="64">
        <f>IF(BY84=0,"",BY84)</f>
      </c>
      <c r="G30" s="64"/>
      <c r="H30" t="s">
        <v>683</v>
      </c>
      <c r="I30" s="5" t="str">
        <f>LOOKUP(H$27,J$2:AD$2,J30:AD30)</f>
        <v>Steel, Low Alloy, &lt; 850 N/mm2</v>
      </c>
      <c r="J30" s="87" t="s">
        <v>1081</v>
      </c>
      <c r="K30" s="5" t="s">
        <v>942</v>
      </c>
      <c r="L30" s="5" t="s">
        <v>1198</v>
      </c>
      <c r="M30" s="5" t="s">
        <v>955</v>
      </c>
      <c r="N30" s="5" t="s">
        <v>717</v>
      </c>
      <c r="O30" t="s">
        <v>1743</v>
      </c>
      <c r="P30" s="34" t="s">
        <v>355</v>
      </c>
      <c r="Q30" s="5" t="s">
        <v>1298</v>
      </c>
      <c r="R30" s="5" t="s">
        <v>1805</v>
      </c>
      <c r="S30" s="5" t="s">
        <v>1286</v>
      </c>
      <c r="T30" s="34" t="s">
        <v>1517</v>
      </c>
      <c r="U30" s="5" t="s">
        <v>268</v>
      </c>
      <c r="V30" s="5" t="s">
        <v>1415</v>
      </c>
      <c r="W30" s="34" t="s">
        <v>609</v>
      </c>
      <c r="X30" s="34" t="s">
        <v>96</v>
      </c>
      <c r="Y30" s="5" t="s">
        <v>816</v>
      </c>
      <c r="Z30" s="98" t="s">
        <v>1379</v>
      </c>
      <c r="AA30" s="112" t="s">
        <v>1463</v>
      </c>
      <c r="AB30" s="101" t="s">
        <v>502</v>
      </c>
      <c r="AC30" s="119" t="s">
        <v>120</v>
      </c>
      <c r="AD30" s="107" t="s">
        <v>170</v>
      </c>
      <c r="AF30" s="4">
        <v>29</v>
      </c>
      <c r="AG30" s="4">
        <v>1</v>
      </c>
      <c r="AH30" s="4">
        <v>1</v>
      </c>
      <c r="AI30" s="4">
        <v>3</v>
      </c>
      <c r="AJ30" t="s">
        <v>1925</v>
      </c>
      <c r="AK30">
        <v>8</v>
      </c>
      <c r="AL30">
        <v>8</v>
      </c>
      <c r="AM30">
        <v>3</v>
      </c>
      <c r="AN30">
        <v>19</v>
      </c>
      <c r="AO30">
        <v>15.37</v>
      </c>
      <c r="AP30">
        <v>63</v>
      </c>
      <c r="AQ30">
        <v>10.6</v>
      </c>
      <c r="AS30" s="38">
        <f t="shared" si="0"/>
        <v>29</v>
      </c>
      <c r="AT30" s="25" t="b">
        <f t="shared" si="1"/>
        <v>0</v>
      </c>
      <c r="AU30" s="25" t="b">
        <f t="shared" si="2"/>
        <v>0</v>
      </c>
      <c r="AV30" s="25" t="b">
        <f t="shared" si="4"/>
        <v>0</v>
      </c>
      <c r="AW30" s="25" t="b">
        <f t="shared" si="5"/>
        <v>0</v>
      </c>
      <c r="AZ30" s="153" t="s">
        <v>1892</v>
      </c>
      <c r="BC30" s="25">
        <v>28</v>
      </c>
      <c r="BD30" s="6">
        <v>265</v>
      </c>
      <c r="BE30" s="8">
        <v>1.1</v>
      </c>
      <c r="BJ30" s="14">
        <f t="shared" si="10"/>
        <v>33.17570260670928</v>
      </c>
      <c r="BK30" s="11">
        <f t="shared" si="11"/>
        <v>0.13109994191499957</v>
      </c>
      <c r="BQ30" s="7" t="s">
        <v>670</v>
      </c>
      <c r="BR30" s="43">
        <f>LOOKUP(BR28,BR31:BR33,BQ31:BQ33)</f>
        <v>1</v>
      </c>
      <c r="BU30" s="33">
        <v>1010012</v>
      </c>
      <c r="BV30" s="33">
        <f t="shared" si="23"/>
        <v>0</v>
      </c>
      <c r="BX30" s="39">
        <v>9</v>
      </c>
      <c r="BY30" s="45">
        <f>LOOKUP(BV$54,BZ$5:DJ$5,BZ30:DJ30)</f>
        <v>0</v>
      </c>
      <c r="BZ30" s="45"/>
      <c r="CB30" s="44" t="str">
        <f>CONCATENATE(BX30,DL97,DM97,DN97)</f>
        <v>9 CC IX-2 IY+0</v>
      </c>
      <c r="CC30" s="44" t="str">
        <f>CA12</f>
        <v>G01 G41 X2. Y-2. F156</v>
      </c>
      <c r="CD30" s="44" t="str">
        <f>CONCATENATE(BX30,DY97,DZ97,EA97)</f>
        <v>9 CC IX-1.733 IY+0</v>
      </c>
      <c r="CE30" s="44" t="str">
        <f>CONCATENATE(EL30,EM30,EN30,EO30,EP30,EQ30,ER30,ES30)</f>
        <v>G01 G41 X1.838 Y-1.838 F147</v>
      </c>
      <c r="CF30" s="44" t="str">
        <f>CONCATENATE(BX30,EL97,EM97,EN97)</f>
        <v>9 CC IX-1.595 IY+0</v>
      </c>
      <c r="CG30" s="44" t="str">
        <f>CA21</f>
        <v>G03 X-2. Y2. Z0.375 I-2. J0.</v>
      </c>
      <c r="CH30" s="44" t="str">
        <f>CONCATENATE(BX30,DL88,DM88,DN88)</f>
        <v>9 CP IPA+90 IZ+0.375 DR+</v>
      </c>
      <c r="CI30" s="44" t="str">
        <f>CC21</f>
        <v>G03 X-1.733 Y1.733 Z0.375 I-1.733 J0.</v>
      </c>
      <c r="CJ30" s="44" t="str">
        <f>CONCATENATE(BX30,DL88,DM88,DN88)</f>
        <v>9 CP IPA+90 IZ+0.375 DR+</v>
      </c>
      <c r="CK30" s="4" t="str">
        <f>CE21</f>
        <v>G03 X-1.595 Y1.595 Z0.375 I-1.595 J0.</v>
      </c>
      <c r="CL30" s="44" t="str">
        <f>CONCATENATE(BX30,DL88,DM88,DN88)</f>
        <v>9 CP IPA+90 IZ+0.375 DR+</v>
      </c>
      <c r="CM30" s="4" t="str">
        <f>CG39</f>
        <v>#2=#2+1</v>
      </c>
      <c r="CN30" s="44" t="str">
        <f>CONCATENATE(BX30,EY88)</f>
        <v>9 LBL 101</v>
      </c>
      <c r="CO30" s="44" t="str">
        <f>CM30</f>
        <v>#2=#2+1</v>
      </c>
      <c r="CP30" s="44" t="str">
        <f>CN30</f>
        <v>9 LBL 101</v>
      </c>
      <c r="CQ30" s="44" t="str">
        <f>CO30</f>
        <v>#2=#2+1</v>
      </c>
      <c r="CR30" s="152" t="str">
        <f>CN30</f>
        <v>9 LBL 101</v>
      </c>
      <c r="CS30" s="44" t="str">
        <f>CA21</f>
        <v>G03 X-2. Y2. Z0.375 I-2. J0.</v>
      </c>
      <c r="CT30" s="152" t="str">
        <f>CONCATENATE(BX30,DL91,FV21,DN82,FX21)</f>
        <v>9 CC IX-0.023 IY-4.023</v>
      </c>
      <c r="CU30" s="44" t="str">
        <f>CC21</f>
        <v>G03 X-1.733 Y1.733 Z0.375 I-1.733 J0.</v>
      </c>
      <c r="CV30" s="152" t="str">
        <f>CONCATENATE(BX30,DL91,GI21,DN82,GK21)</f>
        <v>9 CC IX-0.023 IY-3.489</v>
      </c>
      <c r="CW30" s="44" t="str">
        <f>CE21</f>
        <v>G03 X-1.595 Y1.595 Z0.375 I-1.595 J0.</v>
      </c>
      <c r="CX30" s="152" t="str">
        <f>CONCATENATE(BX30,DL91,GV21,DN82,GX21)</f>
        <v>9 CC IX-0.023 IY-3.213</v>
      </c>
      <c r="CY30" s="44" t="s">
        <v>709</v>
      </c>
      <c r="CZ30" s="44" t="str">
        <f>CC27</f>
        <v>G00 Z-3.75</v>
      </c>
      <c r="DA30" s="44" t="str">
        <f>CC27</f>
        <v>G00 Z-3.75</v>
      </c>
      <c r="DB30" s="44" t="str">
        <f>CY21</f>
        <v>G03 X0. C0. Z3. I-4. J0.</v>
      </c>
      <c r="DC30" s="44" t="str">
        <f>CZ21</f>
        <v>G03 X0. C0. Z3. I-3.466 J0.</v>
      </c>
      <c r="DD30" s="44" t="str">
        <f>DA21</f>
        <v>G03 X0. C0. Z3. I-3.19 J0.</v>
      </c>
      <c r="DE30" s="44" t="str">
        <f>CY21</f>
        <v>G03 X0. C0. Z3. I-4. J0.</v>
      </c>
      <c r="DF30" s="44" t="str">
        <f>CZ21</f>
        <v>G03 X0. C0. Z3. I-3.466 J0.</v>
      </c>
      <c r="DG30" s="44" t="str">
        <f>DA21</f>
        <v>G03 X0. C0. Z3. I-3.19 J0.</v>
      </c>
      <c r="DH30" s="44" t="str">
        <f>CONCATENATE(FN27,FO27,FP27,HG30,FR27,FS27,FT27,FU27,FV27,FW27,FX27,FY27)</f>
        <v>G03 X4.092 C4.069 Z0.75 I0.023 J4.069</v>
      </c>
      <c r="DI30" s="44" t="str">
        <f>CONCATENATE(GA27,GB27,GC27,HI30,GE27,GF27,GG27,GH27,GI27,GJ27,GK27,GL27)</f>
        <v>G03 X3.558 C3.535 Z0.75 I0.023 J3.535</v>
      </c>
      <c r="DJ30" s="44" t="str">
        <f>CONCATENATE(GN27,GO27,GP27,HK30,GR27,GS27,GT27,GU27,GV27,GW27,GX27,GY27)</f>
        <v>G03 X3.282 C3.259 Z0.75 I0.023 J3.259</v>
      </c>
      <c r="DK30" s="49"/>
      <c r="DL30" s="18"/>
      <c r="DM30" s="18"/>
      <c r="DN30" s="18"/>
      <c r="DO30" s="18"/>
      <c r="DP30" s="18"/>
      <c r="DQ30" s="18"/>
      <c r="DR30" s="18"/>
      <c r="DS30" s="18"/>
      <c r="DT30" s="18"/>
      <c r="DU30" s="18"/>
      <c r="DV30" s="18"/>
      <c r="DX30" s="46"/>
      <c r="DY30" s="18"/>
      <c r="DZ30" s="18"/>
      <c r="EA30" s="18"/>
      <c r="EB30" s="18"/>
      <c r="EC30" s="18"/>
      <c r="ED30" s="18"/>
      <c r="EE30" s="18"/>
      <c r="EF30" s="18"/>
      <c r="EG30" s="18"/>
      <c r="EH30" s="18"/>
      <c r="EI30" s="18"/>
      <c r="EJ30" s="18"/>
      <c r="EK30" s="49">
        <v>9</v>
      </c>
      <c r="EL30" s="18" t="s">
        <v>582</v>
      </c>
      <c r="EM30" s="18" t="s">
        <v>583</v>
      </c>
      <c r="EN30" s="18" t="s">
        <v>584</v>
      </c>
      <c r="EO30" s="18" t="str">
        <f>SUBSTITUTE(EO28,",",".")</f>
        <v>1.838</v>
      </c>
      <c r="EP30" s="18" t="str">
        <f>IF(EO28=EO29,". Y"," Y")</f>
        <v> Y</v>
      </c>
      <c r="EQ30" s="18" t="str">
        <f>SUBSTITUTE(EQ28,",",".")</f>
        <v>-1.838</v>
      </c>
      <c r="ER30" s="18" t="str">
        <f>IF(EQ28=EQ29,". F"," F")</f>
        <v> F</v>
      </c>
      <c r="ES30" s="6">
        <f>BT69</f>
        <v>147</v>
      </c>
      <c r="ET30" s="18"/>
      <c r="EU30" s="18"/>
      <c r="EV30" s="18"/>
      <c r="EW30" s="25"/>
      <c r="FM30" s="49"/>
      <c r="FZ30" s="49"/>
      <c r="GM30" s="49"/>
      <c r="HF30" s="49">
        <v>9</v>
      </c>
      <c r="HG30" s="33" t="str">
        <f>IF(FP25=FP26,". C"," C")</f>
        <v> C</v>
      </c>
      <c r="HH30" s="49">
        <v>9</v>
      </c>
      <c r="HI30" s="33" t="str">
        <f>IF(GC25=GC26,". C"," C")</f>
        <v> C</v>
      </c>
      <c r="HJ30" s="49">
        <v>9</v>
      </c>
      <c r="HK30" s="33" t="str">
        <f>IF(GP25=GP26,". C"," C")</f>
        <v> C</v>
      </c>
    </row>
    <row r="31" spans="1:201" ht="15.75" customHeight="1">
      <c r="A31" s="65"/>
      <c r="B31" s="70" t="str">
        <f t="shared" si="25"/>
        <v>Fd = feed in center of mill (mm/min)</v>
      </c>
      <c r="C31" s="69">
        <f>ROUND(C30*(C14-BG13)/C14,0)</f>
        <v>156</v>
      </c>
      <c r="D31" s="64"/>
      <c r="E31" s="65"/>
      <c r="F31" s="64">
        <f>IF(BY87=0,"",BY87)</f>
      </c>
      <c r="G31" s="64"/>
      <c r="H31" t="s">
        <v>627</v>
      </c>
      <c r="I31" s="5" t="str">
        <f t="shared" si="26"/>
        <v>Steel, High Alloy, &lt; 1200 N/mm2</v>
      </c>
      <c r="J31" s="87" t="s">
        <v>1082</v>
      </c>
      <c r="K31" s="5" t="s">
        <v>938</v>
      </c>
      <c r="L31" s="5" t="s">
        <v>1134</v>
      </c>
      <c r="M31" s="5" t="s">
        <v>971</v>
      </c>
      <c r="N31" s="5" t="s">
        <v>1030</v>
      </c>
      <c r="O31" t="s">
        <v>1744</v>
      </c>
      <c r="P31" s="34" t="s">
        <v>356</v>
      </c>
      <c r="Q31" s="5" t="s">
        <v>1299</v>
      </c>
      <c r="R31" s="5" t="s">
        <v>1806</v>
      </c>
      <c r="S31" s="5" t="s">
        <v>1287</v>
      </c>
      <c r="T31" s="34" t="s">
        <v>1416</v>
      </c>
      <c r="U31" s="34" t="s">
        <v>269</v>
      </c>
      <c r="V31" s="5" t="s">
        <v>1419</v>
      </c>
      <c r="W31" s="34" t="s">
        <v>610</v>
      </c>
      <c r="X31" s="34" t="s">
        <v>97</v>
      </c>
      <c r="Y31" s="5" t="s">
        <v>911</v>
      </c>
      <c r="Z31" s="98" t="s">
        <v>1380</v>
      </c>
      <c r="AA31" s="112" t="s">
        <v>1476</v>
      </c>
      <c r="AB31" s="101" t="s">
        <v>503</v>
      </c>
      <c r="AC31" s="119" t="s">
        <v>121</v>
      </c>
      <c r="AD31" s="107" t="s">
        <v>171</v>
      </c>
      <c r="AF31" s="4">
        <v>30</v>
      </c>
      <c r="AG31" s="4">
        <v>2</v>
      </c>
      <c r="AH31" s="4">
        <v>4</v>
      </c>
      <c r="AI31" s="4">
        <v>4</v>
      </c>
      <c r="AJ31" t="s">
        <v>1926</v>
      </c>
      <c r="AK31">
        <v>8</v>
      </c>
      <c r="AL31">
        <v>8</v>
      </c>
      <c r="AM31">
        <v>3</v>
      </c>
      <c r="AN31">
        <v>19</v>
      </c>
      <c r="AO31">
        <v>15.37</v>
      </c>
      <c r="AP31">
        <v>63</v>
      </c>
      <c r="AQ31">
        <v>10.6</v>
      </c>
      <c r="AS31" s="38">
        <f t="shared" si="0"/>
        <v>30</v>
      </c>
      <c r="AT31" s="25" t="b">
        <f t="shared" si="1"/>
        <v>0</v>
      </c>
      <c r="AU31" s="25" t="b">
        <f t="shared" si="2"/>
        <v>0</v>
      </c>
      <c r="AV31" s="25" t="b">
        <f t="shared" si="4"/>
        <v>0</v>
      </c>
      <c r="AW31" s="25" t="b">
        <f t="shared" si="5"/>
        <v>0</v>
      </c>
      <c r="AZ31" s="153" t="s">
        <v>1893</v>
      </c>
      <c r="BC31" s="25">
        <v>29</v>
      </c>
      <c r="BD31" s="6">
        <v>55</v>
      </c>
      <c r="BE31" s="8">
        <v>0.6</v>
      </c>
      <c r="BG31" s="7" t="s">
        <v>674</v>
      </c>
      <c r="BH31" s="12">
        <f>IF(D26&gt;0,D26,C26)</f>
        <v>0.04951690151100004</v>
      </c>
      <c r="BJ31" s="14">
        <f t="shared" si="10"/>
        <v>36.8250298934473</v>
      </c>
      <c r="BK31" s="11">
        <f t="shared" si="11"/>
        <v>0.14420993610649954</v>
      </c>
      <c r="BQ31" s="25">
        <v>3</v>
      </c>
      <c r="BR31" s="28">
        <v>0</v>
      </c>
      <c r="BU31" s="33">
        <v>1010022</v>
      </c>
      <c r="BV31" s="33">
        <f t="shared" si="23"/>
        <v>0</v>
      </c>
      <c r="BX31" s="39"/>
      <c r="CL31" s="44"/>
      <c r="DX31" s="46"/>
      <c r="DY31" s="18"/>
      <c r="DZ31" s="18"/>
      <c r="EA31" s="18"/>
      <c r="EB31" s="18"/>
      <c r="EC31" s="18"/>
      <c r="ED31" s="18"/>
      <c r="EE31" s="18"/>
      <c r="EF31" s="18"/>
      <c r="EG31" s="18"/>
      <c r="EH31" s="18"/>
      <c r="EI31" s="18"/>
      <c r="EJ31" s="18"/>
      <c r="EK31" s="49"/>
      <c r="EL31" s="18"/>
      <c r="EM31" s="18"/>
      <c r="EN31" s="18">
        <f>BS69</f>
        <v>1.838</v>
      </c>
      <c r="EO31" s="18"/>
      <c r="EP31" s="18">
        <f>BS69</f>
        <v>1.838</v>
      </c>
      <c r="EQ31" s="18"/>
      <c r="ER31" s="18">
        <f>ROUND(BN6/8,3)</f>
        <v>0.375</v>
      </c>
      <c r="ES31" s="18"/>
      <c r="ET31" s="18"/>
      <c r="EU31" s="18"/>
      <c r="EV31" s="18">
        <f>BS69</f>
        <v>1.838</v>
      </c>
      <c r="EW31" s="25"/>
      <c r="FQ31" s="33">
        <f>-(BR57+(4*FX16))</f>
        <v>-2.092</v>
      </c>
      <c r="FS31" s="33">
        <f>-BR57</f>
        <v>-2</v>
      </c>
      <c r="GD31" s="33">
        <f>-(BS62+(4*GK16))</f>
        <v>-1.8250000000000002</v>
      </c>
      <c r="GF31" s="33">
        <f>-BS62</f>
        <v>-1.733</v>
      </c>
      <c r="GQ31" s="33">
        <f>-(BS68+(4*GX16))</f>
        <v>-1.687</v>
      </c>
      <c r="GS31" s="33">
        <f>-BS68</f>
        <v>-1.595</v>
      </c>
    </row>
    <row r="32" spans="1:201" ht="15.75" customHeight="1">
      <c r="A32" s="65"/>
      <c r="B32" s="70" t="str">
        <f t="shared" si="25"/>
        <v>T = time to mill the thread (seconds)</v>
      </c>
      <c r="C32" s="69">
        <f>BN29</f>
        <v>14</v>
      </c>
      <c r="D32" s="64"/>
      <c r="E32" s="65"/>
      <c r="F32" s="64">
        <f>IF(BY90=0,"",BY90)</f>
      </c>
      <c r="G32" s="64"/>
      <c r="H32" t="s">
        <v>946</v>
      </c>
      <c r="I32" s="5" t="str">
        <f t="shared" si="26"/>
        <v>Steel, Hardened, &lt; 45 HRC</v>
      </c>
      <c r="J32" s="87" t="s">
        <v>1083</v>
      </c>
      <c r="K32" s="5" t="s">
        <v>939</v>
      </c>
      <c r="L32" s="5" t="s">
        <v>1135</v>
      </c>
      <c r="M32" s="5" t="s">
        <v>959</v>
      </c>
      <c r="N32" s="5" t="s">
        <v>1031</v>
      </c>
      <c r="O32" t="s">
        <v>1745</v>
      </c>
      <c r="P32" s="34" t="s">
        <v>357</v>
      </c>
      <c r="Q32" s="5" t="s">
        <v>1300</v>
      </c>
      <c r="R32" s="5" t="s">
        <v>1807</v>
      </c>
      <c r="S32" s="5" t="s">
        <v>1201</v>
      </c>
      <c r="T32" s="34" t="s">
        <v>1417</v>
      </c>
      <c r="U32" s="5" t="s">
        <v>270</v>
      </c>
      <c r="V32" s="5" t="s">
        <v>1422</v>
      </c>
      <c r="W32" s="34" t="s">
        <v>611</v>
      </c>
      <c r="X32" s="34" t="s">
        <v>4</v>
      </c>
      <c r="Y32" s="5" t="s">
        <v>817</v>
      </c>
      <c r="Z32" s="98" t="s">
        <v>1381</v>
      </c>
      <c r="AA32" s="112" t="s">
        <v>1477</v>
      </c>
      <c r="AB32" s="101" t="s">
        <v>504</v>
      </c>
      <c r="AC32" s="119" t="s">
        <v>122</v>
      </c>
      <c r="AD32" s="107" t="s">
        <v>183</v>
      </c>
      <c r="AF32" s="4">
        <v>31</v>
      </c>
      <c r="AG32" s="4">
        <v>1</v>
      </c>
      <c r="AH32" s="4">
        <v>1</v>
      </c>
      <c r="AI32" s="4">
        <v>7</v>
      </c>
      <c r="AJ32" t="s">
        <v>1927</v>
      </c>
      <c r="AK32">
        <v>6</v>
      </c>
      <c r="AL32">
        <v>6</v>
      </c>
      <c r="AM32">
        <v>3</v>
      </c>
      <c r="AN32">
        <v>27</v>
      </c>
      <c r="AO32">
        <v>12.7</v>
      </c>
      <c r="AP32">
        <v>63</v>
      </c>
      <c r="AQ32">
        <v>7</v>
      </c>
      <c r="AS32" s="38">
        <f t="shared" si="0"/>
        <v>31</v>
      </c>
      <c r="AT32" s="25" t="b">
        <f t="shared" si="1"/>
        <v>0</v>
      </c>
      <c r="AU32" s="25" t="b">
        <f t="shared" si="2"/>
        <v>0</v>
      </c>
      <c r="AV32" s="25" t="b">
        <f t="shared" si="4"/>
        <v>0</v>
      </c>
      <c r="AW32" s="25" t="b">
        <f t="shared" si="5"/>
        <v>0</v>
      </c>
      <c r="AZ32" s="153" t="s">
        <v>1726</v>
      </c>
      <c r="BC32" s="25">
        <v>30</v>
      </c>
      <c r="BD32" s="6">
        <v>360</v>
      </c>
      <c r="BE32" s="8">
        <v>1</v>
      </c>
      <c r="BJ32" s="14">
        <f t="shared" si="10"/>
        <v>40.875783181726504</v>
      </c>
      <c r="BK32" s="11">
        <f t="shared" si="11"/>
        <v>0.1586309297171495</v>
      </c>
      <c r="BQ32" s="25">
        <v>2</v>
      </c>
      <c r="BR32" s="28">
        <v>0.35</v>
      </c>
      <c r="BU32" s="33">
        <v>1010032</v>
      </c>
      <c r="BV32" s="33">
        <f aca="true" t="shared" si="27" ref="BV32:BV38">(IF(BV$13=BU32,BV$13,0))</f>
        <v>0</v>
      </c>
      <c r="BX32" s="39"/>
      <c r="CL32" s="44"/>
      <c r="DX32" s="46"/>
      <c r="DY32" s="18"/>
      <c r="DZ32" s="18"/>
      <c r="EA32" s="18"/>
      <c r="EB32" s="18"/>
      <c r="EC32" s="18"/>
      <c r="ED32" s="18"/>
      <c r="EE32" s="18"/>
      <c r="EF32" s="18"/>
      <c r="EG32" s="18"/>
      <c r="EH32" s="18"/>
      <c r="EI32" s="18"/>
      <c r="EJ32" s="18"/>
      <c r="EK32" s="48"/>
      <c r="EL32" s="25"/>
      <c r="EM32" s="25"/>
      <c r="EN32" s="25">
        <f>INT(EN31)</f>
        <v>1</v>
      </c>
      <c r="EO32" s="25"/>
      <c r="EP32" s="25">
        <f>INT(EP31)</f>
        <v>1</v>
      </c>
      <c r="EQ32" s="25"/>
      <c r="ER32" s="25">
        <f>INT(ER31)</f>
        <v>0</v>
      </c>
      <c r="ES32" s="25"/>
      <c r="ET32" s="25"/>
      <c r="EU32" s="25"/>
      <c r="EV32" s="25">
        <f>INT(EV31)</f>
        <v>1</v>
      </c>
      <c r="EW32" s="25"/>
      <c r="FQ32" s="25">
        <f>INT(FQ31)</f>
        <v>-3</v>
      </c>
      <c r="FS32" s="25">
        <f>INT(FS31)</f>
        <v>-2</v>
      </c>
      <c r="GD32" s="25">
        <f>INT(GD31)</f>
        <v>-2</v>
      </c>
      <c r="GF32" s="25">
        <f>INT(GF31)</f>
        <v>-2</v>
      </c>
      <c r="GQ32" s="25">
        <f>INT(GQ31)</f>
        <v>-2</v>
      </c>
      <c r="GS32" s="25">
        <f>INT(GS31)</f>
        <v>-2</v>
      </c>
    </row>
    <row r="33" spans="1:218" ht="15.75" customHeight="1">
      <c r="A33" s="65"/>
      <c r="B33" s="65"/>
      <c r="C33" s="65"/>
      <c r="D33" s="65"/>
      <c r="E33" s="65"/>
      <c r="F33" s="64">
        <f>IF(BY93=0,"",BY93)</f>
      </c>
      <c r="G33" s="64" t="s">
        <v>814</v>
      </c>
      <c r="H33" t="s">
        <v>1729</v>
      </c>
      <c r="I33" s="5" t="str">
        <f t="shared" si="26"/>
        <v>Steel, Hardened, &lt; 55 HRC</v>
      </c>
      <c r="J33" s="87" t="s">
        <v>1084</v>
      </c>
      <c r="K33" s="5" t="s">
        <v>940</v>
      </c>
      <c r="L33" s="5" t="s">
        <v>1125</v>
      </c>
      <c r="M33" s="5" t="s">
        <v>960</v>
      </c>
      <c r="N33" s="5" t="s">
        <v>664</v>
      </c>
      <c r="O33" t="s">
        <v>1746</v>
      </c>
      <c r="P33" s="34" t="s">
        <v>358</v>
      </c>
      <c r="Q33" s="5" t="s">
        <v>1301</v>
      </c>
      <c r="R33" s="5" t="s">
        <v>1808</v>
      </c>
      <c r="S33" s="5" t="s">
        <v>1202</v>
      </c>
      <c r="T33" s="34" t="s">
        <v>1418</v>
      </c>
      <c r="U33" s="34" t="s">
        <v>271</v>
      </c>
      <c r="V33" s="5" t="s">
        <v>1423</v>
      </c>
      <c r="W33" s="34" t="s">
        <v>612</v>
      </c>
      <c r="X33" s="34" t="s">
        <v>5</v>
      </c>
      <c r="Y33" s="5" t="s">
        <v>818</v>
      </c>
      <c r="Z33" s="98" t="s">
        <v>1382</v>
      </c>
      <c r="AA33" s="112" t="s">
        <v>1560</v>
      </c>
      <c r="AB33" s="101" t="s">
        <v>420</v>
      </c>
      <c r="AC33" s="119" t="s">
        <v>123</v>
      </c>
      <c r="AD33" s="107" t="s">
        <v>184</v>
      </c>
      <c r="AF33" s="4">
        <v>32</v>
      </c>
      <c r="AG33" s="4">
        <v>1</v>
      </c>
      <c r="AH33" s="4">
        <v>1</v>
      </c>
      <c r="AI33" s="4">
        <v>3</v>
      </c>
      <c r="AJ33" t="s">
        <v>1928</v>
      </c>
      <c r="AK33">
        <v>6</v>
      </c>
      <c r="AL33">
        <v>6</v>
      </c>
      <c r="AM33">
        <v>3</v>
      </c>
      <c r="AN33">
        <v>28</v>
      </c>
      <c r="AO33">
        <v>10.43</v>
      </c>
      <c r="AP33">
        <v>63</v>
      </c>
      <c r="AQ33">
        <v>7.8</v>
      </c>
      <c r="AS33" s="38">
        <f t="shared" si="0"/>
        <v>32</v>
      </c>
      <c r="AT33" s="25" t="b">
        <f t="shared" si="1"/>
        <v>0</v>
      </c>
      <c r="AU33" s="25" t="b">
        <f t="shared" si="2"/>
        <v>0</v>
      </c>
      <c r="AV33" s="25" t="b">
        <f t="shared" si="4"/>
        <v>0</v>
      </c>
      <c r="AW33" s="25" t="b">
        <f t="shared" si="5"/>
        <v>0</v>
      </c>
      <c r="AZ33" s="153"/>
      <c r="BQ33" s="25">
        <v>1</v>
      </c>
      <c r="BR33" s="28">
        <v>0.55</v>
      </c>
      <c r="BU33" s="33">
        <v>1010111</v>
      </c>
      <c r="BV33" s="33">
        <f t="shared" si="27"/>
        <v>0</v>
      </c>
      <c r="BX33" s="39">
        <v>10</v>
      </c>
      <c r="BY33" s="45">
        <f>LOOKUP(BV$54,BZ$5:DJ$5,BZ33:DJ33)</f>
        <v>0</v>
      </c>
      <c r="BZ33" s="45"/>
      <c r="CB33" s="44" t="str">
        <f>CONCATENATE(BX33,DL100,DM100,DN100)</f>
        <v>10 CP IPA+90 IZ+0.375 DR+</v>
      </c>
      <c r="CC33" s="44" t="str">
        <f>CA15</f>
        <v>G03 X2. Y2. Z0.375 I0. J2.</v>
      </c>
      <c r="CD33" s="44" t="str">
        <f>CB33</f>
        <v>10 CP IPA+90 IZ+0.375 DR+</v>
      </c>
      <c r="CE33" s="44" t="str">
        <f>CONCATENATE(EL33,EM33,EN33,EO33,EP33,EQ33,ER33,ES33,ET33,EU33,EV33,EW33)</f>
        <v>G03 X1.838 Y1.838 Z0.375 I0. J1.838</v>
      </c>
      <c r="CF33" s="44" t="str">
        <f>CD33</f>
        <v>10 CP IPA+90 IZ+0.375 DR+</v>
      </c>
      <c r="CG33" s="44" t="str">
        <f>CA24</f>
        <v>G01 G40 X-2. Y-2.</v>
      </c>
      <c r="CH33" s="44" t="str">
        <f>CONCATENATE(BX33,DL91,DM91,DN91)</f>
        <v>10 CC IX-4 IY+0</v>
      </c>
      <c r="CI33" s="44" t="str">
        <f>CC24</f>
        <v>G01 G40 X-1.733 Y-1.733</v>
      </c>
      <c r="CJ33" s="44" t="str">
        <f>CONCATENATE(BX33,DY91,DZ91,EA91)</f>
        <v>10 CC IX-3.466 IY+0</v>
      </c>
      <c r="CK33" s="4" t="str">
        <f>CE24</f>
        <v>G01 G40 X-1.595 Y-1.595</v>
      </c>
      <c r="CL33" s="44" t="str">
        <f>CONCATENATE(BX33,EL91,EM91,EN91)</f>
        <v>10 CC IX-3.19 IY+0</v>
      </c>
      <c r="CM33" s="4" t="str">
        <f>CG42</f>
        <v>END1</v>
      </c>
      <c r="CN33" s="44" t="str">
        <f>CH33</f>
        <v>10 CC IX-4 IY+0</v>
      </c>
      <c r="CO33" s="44" t="str">
        <f>CM33</f>
        <v>END1</v>
      </c>
      <c r="CP33" s="44" t="str">
        <f>CONCATENATE(BX33,DY91,DZ91,EA91)</f>
        <v>10 CC IX-3.466 IY+0</v>
      </c>
      <c r="CQ33" s="44" t="str">
        <f>CO33</f>
        <v>END1</v>
      </c>
      <c r="CR33" s="152" t="str">
        <f>CL33</f>
        <v>10 CC IX-3.19 IY+0</v>
      </c>
      <c r="CS33" s="44" t="str">
        <f>CONCATENATE(FN33,FO33,FP33,FQ33,FR33,FS33,FT33)</f>
        <v>G01 G40 X-2.092 Y-2.</v>
      </c>
      <c r="CT33" s="152" t="str">
        <f>CONCATENATE(BX33,DL88,FT21,DN88)</f>
        <v>10 CP IPA+90 IZ+0.75 DR+</v>
      </c>
      <c r="CU33" s="44" t="str">
        <f>CONCATENATE(GA33,GB33,GC33,GD33,GE33,GF33,GG33)</f>
        <v>G01 G40 X-1.825 Y-1.733</v>
      </c>
      <c r="CV33" s="152" t="str">
        <f>CT33</f>
        <v>10 CP IPA+90 IZ+0.75 DR+</v>
      </c>
      <c r="CW33" s="44" t="str">
        <f>CONCATENATE(GN33,GO33,GP33,GQ33,GR33,GS33,GT33)</f>
        <v>G01 G40 X-1.687 Y-1.595</v>
      </c>
      <c r="CX33" s="152" t="str">
        <f>CV33</f>
        <v>10 CP IPA+90 IZ+0.75 DR+</v>
      </c>
      <c r="CY33" s="44" t="str">
        <f>CA27</f>
        <v>G00 Z34.25</v>
      </c>
      <c r="CZ33" s="44" t="str">
        <f>CY15</f>
        <v>G01 G41 X2. C-2. F156</v>
      </c>
      <c r="DA33" s="44" t="str">
        <f>CONCATENATE(EL30,EM30,EN30,EO30,HE33,EQ30,ER30,ES30)</f>
        <v>G01 G41 X1.838 C-1.838 F147</v>
      </c>
      <c r="DB33" s="44" t="str">
        <f>CY24</f>
        <v>G03 X-2. C2. Z0.375 I-2. J0.</v>
      </c>
      <c r="DC33" s="44" t="str">
        <f>CZ24</f>
        <v>G03 X-1.733 C1.733 Z0.375 I-1.733 J0.</v>
      </c>
      <c r="DD33" s="44" t="str">
        <f>DA24</f>
        <v>G03 X-1.595 C1.595 Z0.375 I-1.595 J0.</v>
      </c>
      <c r="DE33" s="44" t="str">
        <f>CM30</f>
        <v>#2=#2+1</v>
      </c>
      <c r="DF33" s="44" t="str">
        <f>DE33</f>
        <v>#2=#2+1</v>
      </c>
      <c r="DG33" s="44" t="str">
        <f>DF33</f>
        <v>#2=#2+1</v>
      </c>
      <c r="DH33" s="44" t="str">
        <f>CY24</f>
        <v>G03 X-2. C2. Z0.375 I-2. J0.</v>
      </c>
      <c r="DI33" s="44" t="str">
        <f>CZ24</f>
        <v>G03 X-1.733 C1.733 Z0.375 I-1.733 J0.</v>
      </c>
      <c r="DJ33" s="44" t="str">
        <f>DA24</f>
        <v>G03 X-1.595 C1.595 Z0.375 I-1.595 J0.</v>
      </c>
      <c r="DX33" s="46"/>
      <c r="DY33" s="18"/>
      <c r="DZ33" s="18"/>
      <c r="EA33" s="18"/>
      <c r="EB33" s="18"/>
      <c r="EC33" s="18"/>
      <c r="ED33" s="18"/>
      <c r="EE33" s="18"/>
      <c r="EF33" s="18"/>
      <c r="EG33" s="18"/>
      <c r="EH33" s="18"/>
      <c r="EI33" s="18"/>
      <c r="EJ33" s="18"/>
      <c r="EK33" s="49">
        <v>10</v>
      </c>
      <c r="EL33" s="18" t="s">
        <v>585</v>
      </c>
      <c r="EM33" s="18" t="s">
        <v>584</v>
      </c>
      <c r="EN33" s="18" t="str">
        <f>SUBSTITUTE(EN31,",",".")</f>
        <v>1.838</v>
      </c>
      <c r="EO33" s="18" t="str">
        <f>IF(EN31=EN32,". Y"," Y")</f>
        <v> Y</v>
      </c>
      <c r="EP33" s="18" t="str">
        <f>SUBSTITUTE(EP31,",",".")</f>
        <v>1.838</v>
      </c>
      <c r="EQ33" s="18" t="str">
        <f>IF(EP31=EP32,". Z"," Z")</f>
        <v> Z</v>
      </c>
      <c r="ER33" s="18" t="str">
        <f>SUBSTITUTE(ER31,",",".")</f>
        <v>0.375</v>
      </c>
      <c r="ES33" s="18" t="str">
        <f>IF(ER31=ER32,". I"," I")</f>
        <v> I</v>
      </c>
      <c r="ET33" s="18">
        <v>0</v>
      </c>
      <c r="EU33" s="18" t="s">
        <v>589</v>
      </c>
      <c r="EV33" s="18" t="str">
        <f>SUBSTITUTE(EV31,",",".")</f>
        <v>1.838</v>
      </c>
      <c r="EW33" s="18">
        <f>IF(EV31=EV32,".","")</f>
      </c>
      <c r="FM33" s="49">
        <v>10</v>
      </c>
      <c r="FN33" s="33" t="s">
        <v>582</v>
      </c>
      <c r="FO33" s="33" t="s">
        <v>576</v>
      </c>
      <c r="FP33" s="33" t="s">
        <v>584</v>
      </c>
      <c r="FQ33" s="18" t="str">
        <f>SUBSTITUTE(FQ31,",",".")</f>
        <v>-2.092</v>
      </c>
      <c r="FR33" s="18" t="str">
        <f>IF(FQ31=FQ32,". Y"," Y")</f>
        <v> Y</v>
      </c>
      <c r="FS33" s="18" t="str">
        <f>SUBSTITUTE(FS31,",",".")</f>
        <v>-2</v>
      </c>
      <c r="FT33" s="18" t="str">
        <f>IF(FS31=FS32,".","")</f>
        <v>.</v>
      </c>
      <c r="FZ33" s="49">
        <v>10</v>
      </c>
      <c r="GA33" s="33" t="s">
        <v>582</v>
      </c>
      <c r="GB33" s="33" t="s">
        <v>576</v>
      </c>
      <c r="GC33" s="33" t="s">
        <v>584</v>
      </c>
      <c r="GD33" s="18" t="str">
        <f>SUBSTITUTE(GD31,",",".")</f>
        <v>-1.825</v>
      </c>
      <c r="GE33" s="18" t="str">
        <f>IF(GD31=GD32,". Y"," Y")</f>
        <v> Y</v>
      </c>
      <c r="GF33" s="18" t="str">
        <f>SUBSTITUTE(GF31,",",".")</f>
        <v>-1.733</v>
      </c>
      <c r="GG33" s="18">
        <f>IF(GF31=GF32,".","")</f>
      </c>
      <c r="GM33" s="49">
        <v>10</v>
      </c>
      <c r="GN33" s="33" t="s">
        <v>582</v>
      </c>
      <c r="GO33" s="33" t="s">
        <v>576</v>
      </c>
      <c r="GP33" s="33" t="s">
        <v>584</v>
      </c>
      <c r="GQ33" s="18" t="str">
        <f>SUBSTITUTE(GQ31,",",".")</f>
        <v>-1.687</v>
      </c>
      <c r="GR33" s="18" t="str">
        <f>IF(GQ31=GQ32,". Y"," Y")</f>
        <v> Y</v>
      </c>
      <c r="GS33" s="18" t="str">
        <f>SUBSTITUTE(GS31,",",".")</f>
        <v>-1.595</v>
      </c>
      <c r="GT33" s="18">
        <f>IF(GS31=GS32,".","")</f>
      </c>
      <c r="HD33" s="49">
        <v>10</v>
      </c>
      <c r="HE33" s="33" t="str">
        <f>IF(EO28=EO29,". C"," C")</f>
        <v> C</v>
      </c>
      <c r="HF33" s="49"/>
      <c r="HH33" s="49"/>
      <c r="HJ33" s="49"/>
    </row>
    <row r="34" spans="1:157" ht="15.75" customHeight="1">
      <c r="A34" s="65"/>
      <c r="B34" s="82" t="str">
        <f>I93</f>
        <v>Please read before use!</v>
      </c>
      <c r="C34" s="83"/>
      <c r="D34" s="65"/>
      <c r="E34" s="65"/>
      <c r="F34" s="64">
        <f>IF(BY96=0,"",BY96)</f>
      </c>
      <c r="G34" s="84">
        <v>39210</v>
      </c>
      <c r="H34" t="s">
        <v>695</v>
      </c>
      <c r="I34" s="5" t="str">
        <f t="shared" si="26"/>
        <v>Steel, Hardened, &lt; 65 HRC</v>
      </c>
      <c r="J34" s="87" t="s">
        <v>1085</v>
      </c>
      <c r="K34" s="5" t="s">
        <v>1078</v>
      </c>
      <c r="L34" s="5" t="s">
        <v>1126</v>
      </c>
      <c r="M34" s="5" t="s">
        <v>678</v>
      </c>
      <c r="N34" s="5" t="s">
        <v>754</v>
      </c>
      <c r="O34" t="s">
        <v>1747</v>
      </c>
      <c r="P34" s="34" t="s">
        <v>359</v>
      </c>
      <c r="Q34" s="5" t="s">
        <v>1369</v>
      </c>
      <c r="R34" s="5" t="s">
        <v>1809</v>
      </c>
      <c r="S34" s="5" t="s">
        <v>1337</v>
      </c>
      <c r="T34" s="34" t="s">
        <v>1420</v>
      </c>
      <c r="U34" s="34" t="s">
        <v>272</v>
      </c>
      <c r="V34" s="5" t="s">
        <v>1424</v>
      </c>
      <c r="W34" s="34" t="s">
        <v>613</v>
      </c>
      <c r="X34" s="34" t="s">
        <v>6</v>
      </c>
      <c r="Y34" s="5" t="s">
        <v>819</v>
      </c>
      <c r="Z34" s="98" t="s">
        <v>1429</v>
      </c>
      <c r="AA34" s="112" t="s">
        <v>1561</v>
      </c>
      <c r="AB34" s="101" t="s">
        <v>424</v>
      </c>
      <c r="AC34" s="119" t="s">
        <v>124</v>
      </c>
      <c r="AD34" s="107" t="s">
        <v>185</v>
      </c>
      <c r="AF34" s="4">
        <v>33</v>
      </c>
      <c r="AG34" s="4">
        <v>2</v>
      </c>
      <c r="AH34" s="4">
        <v>4</v>
      </c>
      <c r="AI34" s="4">
        <v>4</v>
      </c>
      <c r="AJ34" t="s">
        <v>1929</v>
      </c>
      <c r="AK34">
        <v>6</v>
      </c>
      <c r="AL34">
        <v>6</v>
      </c>
      <c r="AM34">
        <v>3</v>
      </c>
      <c r="AN34">
        <v>28</v>
      </c>
      <c r="AO34">
        <v>10.43</v>
      </c>
      <c r="AP34">
        <v>63</v>
      </c>
      <c r="AQ34">
        <v>7.8</v>
      </c>
      <c r="AS34" s="38">
        <f aca="true" t="shared" si="28" ref="AS34:AS65">IF(C$14&gt;=AQ34,AF34)</f>
        <v>33</v>
      </c>
      <c r="AT34" s="25" t="b">
        <f aca="true" t="shared" si="29" ref="AT34:AT65">IF(C$15=AN34,AF34)</f>
        <v>0</v>
      </c>
      <c r="AU34" s="25" t="b">
        <f aca="true" t="shared" si="30" ref="AU34:AU65">IF(C$16&lt;=AO34,AF34)</f>
        <v>0</v>
      </c>
      <c r="AV34" s="25" t="b">
        <f t="shared" si="4"/>
        <v>0</v>
      </c>
      <c r="AW34" s="25" t="b">
        <f t="shared" si="5"/>
        <v>0</v>
      </c>
      <c r="AZ34" s="153" t="s">
        <v>1727</v>
      </c>
      <c r="BC34" s="13"/>
      <c r="BD34" s="15"/>
      <c r="BE34" s="15" t="s">
        <v>675</v>
      </c>
      <c r="BF34" s="9"/>
      <c r="BG34" s="10"/>
      <c r="BH34" s="10"/>
      <c r="BI34" s="7"/>
      <c r="BJ34" s="10"/>
      <c r="BK34" s="10"/>
      <c r="BL34" s="10"/>
      <c r="BM34" s="10"/>
      <c r="BN34" s="10"/>
      <c r="BU34" s="33">
        <v>1010112</v>
      </c>
      <c r="BV34" s="33">
        <f t="shared" si="27"/>
        <v>0</v>
      </c>
      <c r="BX34" s="39"/>
      <c r="CL34" s="44"/>
      <c r="DX34" s="46"/>
      <c r="DY34" s="18"/>
      <c r="DZ34" s="18"/>
      <c r="EA34" s="18"/>
      <c r="EB34" s="18"/>
      <c r="EC34" s="18"/>
      <c r="ED34" s="18"/>
      <c r="EE34" s="18"/>
      <c r="EF34" s="18"/>
      <c r="EG34" s="18"/>
      <c r="EH34" s="18"/>
      <c r="EI34" s="18"/>
      <c r="EJ34" s="18"/>
      <c r="EK34" s="49"/>
      <c r="EL34" s="18"/>
      <c r="EM34" s="18"/>
      <c r="EN34" s="18"/>
      <c r="EO34" s="18"/>
      <c r="EP34" s="18"/>
      <c r="EQ34" s="18"/>
      <c r="ER34" s="11">
        <f>BN6</f>
        <v>3</v>
      </c>
      <c r="ES34" s="18"/>
      <c r="ET34" s="18">
        <f>-(2*BS69)</f>
        <v>-3.676</v>
      </c>
      <c r="EU34" s="18"/>
      <c r="EV34" s="18"/>
      <c r="EW34" s="25"/>
      <c r="EX34" s="49"/>
      <c r="EY34" s="147"/>
      <c r="EZ34" s="147"/>
      <c r="FA34" s="149">
        <f>BR7-(BN6*1.25)</f>
        <v>35.25</v>
      </c>
    </row>
    <row r="35" spans="1:157" ht="15.75" customHeight="1">
      <c r="A35" s="65"/>
      <c r="B35" s="65"/>
      <c r="C35" s="65"/>
      <c r="D35" s="65"/>
      <c r="E35" s="65"/>
      <c r="F35" s="64">
        <f>IF(BY99=0,"",BY99)</f>
      </c>
      <c r="G35" s="64"/>
      <c r="H35" t="s">
        <v>696</v>
      </c>
      <c r="I35" s="5" t="str">
        <f t="shared" si="26"/>
        <v>Cast iron, Lamellar Graphite, &lt; 500 N/mm2</v>
      </c>
      <c r="J35" s="87" t="s">
        <v>1086</v>
      </c>
      <c r="K35" s="5" t="s">
        <v>843</v>
      </c>
      <c r="L35" s="5" t="s">
        <v>1127</v>
      </c>
      <c r="M35" s="5" t="s">
        <v>803</v>
      </c>
      <c r="N35" s="5" t="s">
        <v>900</v>
      </c>
      <c r="O35" t="s">
        <v>1748</v>
      </c>
      <c r="P35" s="34" t="s">
        <v>360</v>
      </c>
      <c r="Q35" s="5" t="s">
        <v>1254</v>
      </c>
      <c r="R35" s="5" t="s">
        <v>1810</v>
      </c>
      <c r="S35" s="5" t="s">
        <v>1253</v>
      </c>
      <c r="T35" s="34" t="s">
        <v>1421</v>
      </c>
      <c r="U35" s="34" t="s">
        <v>273</v>
      </c>
      <c r="V35" s="5" t="s">
        <v>1425</v>
      </c>
      <c r="W35" s="34" t="s">
        <v>614</v>
      </c>
      <c r="X35" s="34" t="s">
        <v>7</v>
      </c>
      <c r="Y35" s="5" t="s">
        <v>991</v>
      </c>
      <c r="Z35" s="98" t="s">
        <v>1430</v>
      </c>
      <c r="AA35" s="112" t="s">
        <v>1562</v>
      </c>
      <c r="AB35" s="101" t="s">
        <v>425</v>
      </c>
      <c r="AC35" s="119" t="s">
        <v>125</v>
      </c>
      <c r="AD35" s="107" t="s">
        <v>314</v>
      </c>
      <c r="AF35" s="4">
        <v>34</v>
      </c>
      <c r="AG35" s="4">
        <v>2</v>
      </c>
      <c r="AH35" s="4">
        <v>4</v>
      </c>
      <c r="AI35" s="4">
        <v>6</v>
      </c>
      <c r="AJ35" t="s">
        <v>1930</v>
      </c>
      <c r="AK35">
        <v>6</v>
      </c>
      <c r="AL35">
        <v>6</v>
      </c>
      <c r="AM35">
        <v>3</v>
      </c>
      <c r="AN35">
        <v>27</v>
      </c>
      <c r="AO35">
        <v>10.82</v>
      </c>
      <c r="AP35">
        <v>63</v>
      </c>
      <c r="AQ35">
        <v>7</v>
      </c>
      <c r="AS35" s="38">
        <f t="shared" si="28"/>
        <v>34</v>
      </c>
      <c r="AT35" s="25" t="b">
        <f t="shared" si="29"/>
        <v>0</v>
      </c>
      <c r="AU35" s="25" t="b">
        <f t="shared" si="30"/>
        <v>0</v>
      </c>
      <c r="AV35" s="25" t="b">
        <f t="shared" si="4"/>
        <v>0</v>
      </c>
      <c r="AW35" s="25" t="b">
        <f t="shared" si="5"/>
        <v>0</v>
      </c>
      <c r="AZ35" s="153" t="s">
        <v>1894</v>
      </c>
      <c r="BC35" s="13"/>
      <c r="BD35" s="15" t="s">
        <v>1026</v>
      </c>
      <c r="BE35" s="15">
        <v>1</v>
      </c>
      <c r="BF35" s="15">
        <f>BE35+1</f>
        <v>2</v>
      </c>
      <c r="BG35" s="15">
        <f aca="true" t="shared" si="31" ref="BG35:BN35">BF35+1</f>
        <v>3</v>
      </c>
      <c r="BH35" s="15">
        <f t="shared" si="31"/>
        <v>4</v>
      </c>
      <c r="BI35" s="15">
        <f t="shared" si="31"/>
        <v>5</v>
      </c>
      <c r="BJ35" s="15">
        <f t="shared" si="31"/>
        <v>6</v>
      </c>
      <c r="BK35" s="15">
        <f t="shared" si="31"/>
        <v>7</v>
      </c>
      <c r="BL35" s="15">
        <f t="shared" si="31"/>
        <v>8</v>
      </c>
      <c r="BM35" s="15">
        <f t="shared" si="31"/>
        <v>9</v>
      </c>
      <c r="BN35" s="15">
        <f t="shared" si="31"/>
        <v>10</v>
      </c>
      <c r="BU35" s="33">
        <v>1010121</v>
      </c>
      <c r="BV35" s="33">
        <f t="shared" si="27"/>
        <v>0</v>
      </c>
      <c r="BX35" s="39"/>
      <c r="CL35" s="44"/>
      <c r="DU35" s="18"/>
      <c r="DX35" s="46"/>
      <c r="DY35" s="18"/>
      <c r="DZ35" s="18"/>
      <c r="EA35" s="18"/>
      <c r="EB35" s="18"/>
      <c r="EC35" s="18"/>
      <c r="ED35" s="18"/>
      <c r="EE35" s="18"/>
      <c r="EF35" s="18"/>
      <c r="EG35" s="18"/>
      <c r="EH35" s="18"/>
      <c r="EI35" s="18"/>
      <c r="EJ35" s="18"/>
      <c r="ER35" s="25">
        <f>INT(ER34)</f>
        <v>3</v>
      </c>
      <c r="ET35" s="25">
        <f>INT(ET34)</f>
        <v>-4</v>
      </c>
      <c r="EW35" s="25"/>
      <c r="EY35" s="147"/>
      <c r="EZ35" s="147"/>
      <c r="FA35" s="146">
        <f>INT(FA34)</f>
        <v>35</v>
      </c>
    </row>
    <row r="36" spans="6:219" ht="15.75" customHeight="1">
      <c r="F36" s="51">
        <f>IF(BY102=0,"",BY102)</f>
      </c>
      <c r="H36" t="s">
        <v>1728</v>
      </c>
      <c r="I36" s="5" t="str">
        <f t="shared" si="26"/>
        <v>Cast iron, Lamellar Graphite, &lt; 1000 N/mm2</v>
      </c>
      <c r="J36" s="87" t="s">
        <v>1087</v>
      </c>
      <c r="K36" s="5" t="s">
        <v>919</v>
      </c>
      <c r="L36" s="5" t="s">
        <v>1128</v>
      </c>
      <c r="M36" s="5" t="s">
        <v>866</v>
      </c>
      <c r="N36" s="5" t="s">
        <v>901</v>
      </c>
      <c r="O36" t="s">
        <v>1749</v>
      </c>
      <c r="P36" s="34" t="s">
        <v>405</v>
      </c>
      <c r="Q36" s="5" t="s">
        <v>1316</v>
      </c>
      <c r="R36" s="5" t="s">
        <v>1811</v>
      </c>
      <c r="S36" s="5" t="s">
        <v>1179</v>
      </c>
      <c r="T36" s="34" t="s">
        <v>1656</v>
      </c>
      <c r="U36" s="34" t="s">
        <v>274</v>
      </c>
      <c r="V36" s="5" t="s">
        <v>1358</v>
      </c>
      <c r="W36" s="34" t="s">
        <v>553</v>
      </c>
      <c r="X36" s="34" t="s">
        <v>8</v>
      </c>
      <c r="Y36" s="5" t="s">
        <v>806</v>
      </c>
      <c r="Z36" s="98" t="s">
        <v>1431</v>
      </c>
      <c r="AA36" s="112" t="s">
        <v>1563</v>
      </c>
      <c r="AB36" s="101" t="s">
        <v>345</v>
      </c>
      <c r="AC36" s="119" t="s">
        <v>126</v>
      </c>
      <c r="AD36" s="107" t="s">
        <v>186</v>
      </c>
      <c r="AF36" s="4">
        <v>35</v>
      </c>
      <c r="AG36" s="4">
        <v>2</v>
      </c>
      <c r="AH36" s="4">
        <v>4</v>
      </c>
      <c r="AI36" s="4">
        <v>5</v>
      </c>
      <c r="AJ36" t="s">
        <v>1931</v>
      </c>
      <c r="AK36">
        <v>6</v>
      </c>
      <c r="AL36">
        <v>6</v>
      </c>
      <c r="AM36">
        <v>3</v>
      </c>
      <c r="AN36">
        <v>27</v>
      </c>
      <c r="AO36">
        <v>10.82</v>
      </c>
      <c r="AP36">
        <v>63</v>
      </c>
      <c r="AQ36">
        <v>7</v>
      </c>
      <c r="AS36" s="38">
        <f t="shared" si="28"/>
        <v>35</v>
      </c>
      <c r="AT36" s="25" t="b">
        <f t="shared" si="29"/>
        <v>0</v>
      </c>
      <c r="AU36" s="25" t="b">
        <f t="shared" si="30"/>
        <v>0</v>
      </c>
      <c r="AV36" s="25" t="b">
        <f t="shared" si="4"/>
        <v>0</v>
      </c>
      <c r="AW36" s="25" t="b">
        <f t="shared" si="5"/>
        <v>0</v>
      </c>
      <c r="BC36" s="13"/>
      <c r="BD36" s="7" t="s">
        <v>924</v>
      </c>
      <c r="BE36" s="16">
        <v>0.005</v>
      </c>
      <c r="BF36" s="16">
        <v>0.057</v>
      </c>
      <c r="BG36" s="16">
        <f aca="true" t="shared" si="32" ref="BG36:BN36">BF36*1.14</f>
        <v>0.06498</v>
      </c>
      <c r="BH36" s="16">
        <f t="shared" si="32"/>
        <v>0.0740772</v>
      </c>
      <c r="BI36" s="16">
        <f t="shared" si="32"/>
        <v>0.08444800799999999</v>
      </c>
      <c r="BJ36" s="16">
        <f t="shared" si="32"/>
        <v>0.09627072911999998</v>
      </c>
      <c r="BK36" s="16">
        <f t="shared" si="32"/>
        <v>0.10974863119679996</v>
      </c>
      <c r="BL36" s="16">
        <f t="shared" si="32"/>
        <v>0.12511343956435195</v>
      </c>
      <c r="BM36" s="16">
        <f t="shared" si="32"/>
        <v>0.1426293211033612</v>
      </c>
      <c r="BN36" s="16">
        <f t="shared" si="32"/>
        <v>0.16259742605783176</v>
      </c>
      <c r="BU36" s="33">
        <v>1010122</v>
      </c>
      <c r="BV36" s="33">
        <f t="shared" si="27"/>
        <v>0</v>
      </c>
      <c r="BX36" s="39">
        <v>11</v>
      </c>
      <c r="BY36" s="45">
        <f>LOOKUP(BV$54,BZ$5:DJ$5,BZ36:DJ36)</f>
        <v>0</v>
      </c>
      <c r="BZ36" s="45"/>
      <c r="CB36" s="44" t="str">
        <f>CONCATENATE(BX36,DL103,DM103,DN103,DO103,DP103)</f>
        <v>11 L IX-2 IY-2 R0</v>
      </c>
      <c r="CC36" s="44" t="str">
        <f>CA18</f>
        <v>G03 X0. Y0. Z3. I-4. J0.</v>
      </c>
      <c r="CD36" s="44" t="str">
        <f>CONCATENATE(BX36,DY103,DZ103,EA103,EB103,EC103)</f>
        <v>11 L IX-1.733 IY-1.733 R0</v>
      </c>
      <c r="CE36" s="44" t="str">
        <f>CONCATENATE(EL36,EM36,EN36,EO36,EP36,EQ36,ER36,ES36,ET36,EU36,EV36,EW36)</f>
        <v>G03 X0. Y0. Z3. I-3.676 J0.</v>
      </c>
      <c r="CF36" s="44" t="str">
        <f>CONCATENATE(BX36,EL103,EM103,EN103,EO103,EP103)</f>
        <v>11 L IX-1.595 IY-1.595 R0</v>
      </c>
      <c r="CG36" s="44" t="str">
        <f>CONCATENATE(EY36,EZ36,FA36,FB36)</f>
        <v>G00 Z35.25</v>
      </c>
      <c r="CH36" s="44" t="str">
        <f>CONCATENATE(BX36,DL94,DM94,DN94)</f>
        <v>11 CP IPA+360 IZ+3 DR+</v>
      </c>
      <c r="CI36" s="44" t="str">
        <f>CC27</f>
        <v>G00 Z-3.75</v>
      </c>
      <c r="CJ36" s="44" t="str">
        <f>CONCATENATE(BX36,DL94,DM94,DN94)</f>
        <v>11 CP IPA+360 IZ+3 DR+</v>
      </c>
      <c r="CK36" s="4" t="str">
        <f>CE27</f>
        <v>G00 Z-3.75</v>
      </c>
      <c r="CL36" s="44" t="str">
        <f>CONCATENATE(BX36,DL94,DM94,DN94)</f>
        <v>11 CP IPA+360 IZ+3 DR+</v>
      </c>
      <c r="CM36" s="4" t="str">
        <f>CA21</f>
        <v>G03 X-2. Y2. Z0.375 I-2. J0.</v>
      </c>
      <c r="CN36" s="44" t="str">
        <f>CH36</f>
        <v>11 CP IPA+360 IZ+3 DR+</v>
      </c>
      <c r="CO36" s="44" t="str">
        <f>CC21</f>
        <v>G03 X-1.733 Y1.733 Z0.375 I-1.733 J0.</v>
      </c>
      <c r="CP36" s="44" t="str">
        <f>CN36</f>
        <v>11 CP IPA+360 IZ+3 DR+</v>
      </c>
      <c r="CQ36" s="44" t="str">
        <f>CE21</f>
        <v>G03 X-1.595 Y1.595 Z0.375 I-1.595 J0.</v>
      </c>
      <c r="CR36" s="152" t="str">
        <f>CL36</f>
        <v>11 CP IPA+360 IZ+3 DR+</v>
      </c>
      <c r="CS36" s="44" t="str">
        <f>CA27</f>
        <v>G00 Z34.25</v>
      </c>
      <c r="CT36" s="152" t="str">
        <f>CONCATENATE(BX36,FN103,FV24,DN82,FX24)</f>
        <v>11 CC IX+4.046 IY-0.023</v>
      </c>
      <c r="CU36" s="44" t="str">
        <f>CC27</f>
        <v>G00 Z-3.75</v>
      </c>
      <c r="CV36" s="152" t="str">
        <f>CONCATENATE(BX36,FN103,GI24,DN82,GK24)</f>
        <v>11 CC IX+3.512 IY-0.023</v>
      </c>
      <c r="CW36" s="44" t="str">
        <f>CE27</f>
        <v>G00 Z-3.75</v>
      </c>
      <c r="CX36" s="152" t="str">
        <f>CONCATENATE(BX36,FN103,GV24,DN82,GX24)</f>
        <v>11 CC IX+3.236 IY-0.023</v>
      </c>
      <c r="CZ36" s="44" t="str">
        <f>CY18</f>
        <v>G03 X2. C2. Z0.375 I0. J2.</v>
      </c>
      <c r="DA36" s="44" t="str">
        <f>CONCATENATE(EL33,EM33,EN33,HE33,EP33,EQ33,ER33,ES33,ET33,EU33,EV33,EW33)</f>
        <v>G03 X1.838 C1.838 Z0.375 I0. J1.838</v>
      </c>
      <c r="DB36" s="44" t="str">
        <f>CY27</f>
        <v>G01 G40 X-2. C-2.</v>
      </c>
      <c r="DC36" s="44" t="str">
        <f>CZ27</f>
        <v>G01 G40 X-1.733 C-1.733</v>
      </c>
      <c r="DD36" s="44" t="str">
        <f>DA27</f>
        <v>G01 G40 X-1.595 C-1.595</v>
      </c>
      <c r="DE36" s="44" t="str">
        <f>CM33</f>
        <v>END1</v>
      </c>
      <c r="DF36" s="44" t="str">
        <f>DE36</f>
        <v>END1</v>
      </c>
      <c r="DG36" s="44" t="str">
        <f>DF36</f>
        <v>END1</v>
      </c>
      <c r="DH36" s="44" t="str">
        <f>CONCATENATE(FN33,FO33,FP33,FQ33,HG36,FS33,FT33)</f>
        <v>G01 G40 X-2.092 C-2.</v>
      </c>
      <c r="DI36" s="44" t="str">
        <f>CONCATENATE(GA33,GB33,GC33,GD33,HI36,GF33,GG33)</f>
        <v>G01 G40 X-1.825 C-1.733</v>
      </c>
      <c r="DJ36" s="44" t="str">
        <f>CONCATENATE(GN33,GO33,GP33,GQ33,HK36,GS33,GT33)</f>
        <v>G01 G40 X-1.687 C-1.595</v>
      </c>
      <c r="DU36" s="18"/>
      <c r="DX36" s="46"/>
      <c r="DY36" s="18"/>
      <c r="DZ36" s="18"/>
      <c r="EA36" s="18"/>
      <c r="EB36" s="18"/>
      <c r="EC36" s="18"/>
      <c r="ED36" s="18"/>
      <c r="EE36" s="18"/>
      <c r="EF36" s="18"/>
      <c r="EG36" s="18"/>
      <c r="EH36" s="18"/>
      <c r="EI36" s="18"/>
      <c r="EJ36" s="18"/>
      <c r="EK36" s="49">
        <v>11</v>
      </c>
      <c r="EL36" s="18" t="s">
        <v>585</v>
      </c>
      <c r="EM36" s="18" t="s">
        <v>584</v>
      </c>
      <c r="EN36" s="18">
        <v>0</v>
      </c>
      <c r="EO36" s="18" t="s">
        <v>590</v>
      </c>
      <c r="EP36" s="18">
        <v>0</v>
      </c>
      <c r="EQ36" s="18" t="s">
        <v>591</v>
      </c>
      <c r="ER36" s="18" t="str">
        <f>SUBSTITUTE(ER34,",",".")</f>
        <v>3</v>
      </c>
      <c r="ES36" s="18" t="str">
        <f>IF(ER34=ER35,". I"," I")</f>
        <v>. I</v>
      </c>
      <c r="ET36" s="18" t="str">
        <f>SUBSTITUTE(ET34,",",".")</f>
        <v>-3.676</v>
      </c>
      <c r="EU36" s="18" t="str">
        <f>IF(ET34=ET35,". J"," J")</f>
        <v> J</v>
      </c>
      <c r="EV36" s="18">
        <v>0</v>
      </c>
      <c r="EW36" s="25" t="s">
        <v>1070</v>
      </c>
      <c r="EX36" s="49">
        <v>11</v>
      </c>
      <c r="EY36" s="147" t="s">
        <v>579</v>
      </c>
      <c r="EZ36" s="147" t="s">
        <v>581</v>
      </c>
      <c r="FA36" s="147" t="str">
        <f>SUBSTITUTE(FA34,",",".")</f>
        <v>35.25</v>
      </c>
      <c r="FB36" s="147">
        <f>IF(FA34=FA35,".","")</f>
      </c>
      <c r="HF36" s="49">
        <v>11</v>
      </c>
      <c r="HG36" s="33" t="str">
        <f>IF(FQ31=FQ32,". C"," C")</f>
        <v> C</v>
      </c>
      <c r="HH36" s="49">
        <v>11</v>
      </c>
      <c r="HI36" s="33" t="str">
        <f>IF(GD31=GD32,". C"," C")</f>
        <v> C</v>
      </c>
      <c r="HJ36" s="49">
        <v>11</v>
      </c>
      <c r="HK36" s="33" t="str">
        <f>IF(GQ31=GQ32,". C"," C")</f>
        <v> C</v>
      </c>
    </row>
    <row r="37" spans="6:154" ht="15.75" customHeight="1">
      <c r="F37" s="51">
        <f>IF(BY105=0,"",BY105)</f>
      </c>
      <c r="G37" s="62"/>
      <c r="H37" t="s">
        <v>693</v>
      </c>
      <c r="I37" s="5" t="str">
        <f t="shared" si="26"/>
        <v>Cast iron, Nodular Grap., Malleable, &lt; 700 N/mm2</v>
      </c>
      <c r="J37" s="87" t="s">
        <v>1088</v>
      </c>
      <c r="K37" s="5" t="s">
        <v>920</v>
      </c>
      <c r="L37" s="5" t="s">
        <v>1129</v>
      </c>
      <c r="M37" s="5" t="s">
        <v>944</v>
      </c>
      <c r="N37" s="5" t="s">
        <v>1010</v>
      </c>
      <c r="O37" t="s">
        <v>1750</v>
      </c>
      <c r="P37" s="34" t="s">
        <v>475</v>
      </c>
      <c r="Q37" s="5" t="s">
        <v>1317</v>
      </c>
      <c r="R37" s="5" t="s">
        <v>1812</v>
      </c>
      <c r="S37" s="5" t="s">
        <v>1276</v>
      </c>
      <c r="T37" s="34" t="s">
        <v>1546</v>
      </c>
      <c r="U37" s="34" t="s">
        <v>275</v>
      </c>
      <c r="V37" s="5" t="s">
        <v>1359</v>
      </c>
      <c r="W37" s="34" t="s">
        <v>507</v>
      </c>
      <c r="X37" s="34" t="s">
        <v>9</v>
      </c>
      <c r="Y37" s="5" t="s">
        <v>807</v>
      </c>
      <c r="Z37" s="98" t="s">
        <v>1432</v>
      </c>
      <c r="AA37" s="112" t="s">
        <v>1564</v>
      </c>
      <c r="AB37" s="101" t="s">
        <v>426</v>
      </c>
      <c r="AC37" s="119" t="s">
        <v>127</v>
      </c>
      <c r="AD37" s="107" t="s">
        <v>187</v>
      </c>
      <c r="AF37" s="4">
        <v>36</v>
      </c>
      <c r="AG37" s="4">
        <v>5</v>
      </c>
      <c r="AJ37" t="s">
        <v>1932</v>
      </c>
      <c r="AK37">
        <v>4</v>
      </c>
      <c r="AL37">
        <v>4</v>
      </c>
      <c r="AM37">
        <v>3</v>
      </c>
      <c r="AO37">
        <v>14.5</v>
      </c>
      <c r="AP37">
        <v>51</v>
      </c>
      <c r="AQ37">
        <v>4.9</v>
      </c>
      <c r="AS37" s="38">
        <f t="shared" si="28"/>
        <v>36</v>
      </c>
      <c r="AT37" s="25" t="b">
        <f t="shared" si="29"/>
        <v>0</v>
      </c>
      <c r="AU37" s="25" t="b">
        <f t="shared" si="30"/>
        <v>0</v>
      </c>
      <c r="AV37" s="25" t="b">
        <f t="shared" si="4"/>
        <v>0</v>
      </c>
      <c r="AW37" s="25" t="b">
        <f t="shared" si="5"/>
        <v>0</v>
      </c>
      <c r="BC37" s="17">
        <v>100</v>
      </c>
      <c r="BD37" s="7">
        <v>0.1</v>
      </c>
      <c r="BE37" s="10">
        <v>1.75</v>
      </c>
      <c r="BF37" s="10">
        <f>BE37/1.1</f>
        <v>1.5909090909090908</v>
      </c>
      <c r="BG37" s="10">
        <f>BF37/1.1</f>
        <v>1.446280991735537</v>
      </c>
      <c r="BH37" s="10">
        <f aca="true" t="shared" si="33" ref="BH37:BN37">BG37/1.1</f>
        <v>1.3148009015777609</v>
      </c>
      <c r="BI37" s="10">
        <f t="shared" si="33"/>
        <v>1.1952735468888733</v>
      </c>
      <c r="BJ37" s="10">
        <f t="shared" si="33"/>
        <v>1.0866123153535212</v>
      </c>
      <c r="BK37" s="10">
        <f t="shared" si="33"/>
        <v>0.9878293775941102</v>
      </c>
      <c r="BL37" s="10">
        <f t="shared" si="33"/>
        <v>0.8980267069037364</v>
      </c>
      <c r="BM37" s="10">
        <f t="shared" si="33"/>
        <v>0.816387915367033</v>
      </c>
      <c r="BN37" s="10">
        <f t="shared" si="33"/>
        <v>0.7421708321518482</v>
      </c>
      <c r="BU37" s="33">
        <v>1010131</v>
      </c>
      <c r="BV37" s="33">
        <f t="shared" si="27"/>
        <v>0</v>
      </c>
      <c r="BX37" s="39"/>
      <c r="CL37" s="44"/>
      <c r="DU37" s="18"/>
      <c r="DX37" s="46"/>
      <c r="DY37" s="18"/>
      <c r="DZ37" s="18"/>
      <c r="EA37" s="18"/>
      <c r="EB37" s="18"/>
      <c r="EC37" s="18"/>
      <c r="ED37" s="18"/>
      <c r="EE37" s="18"/>
      <c r="EF37" s="18"/>
      <c r="EG37" s="18"/>
      <c r="EH37" s="18"/>
      <c r="EI37" s="18"/>
      <c r="EJ37" s="18"/>
      <c r="EK37" s="49"/>
      <c r="EL37" s="18"/>
      <c r="EM37" s="18"/>
      <c r="EN37" s="18">
        <f>-BS69</f>
        <v>-1.838</v>
      </c>
      <c r="EO37" s="18"/>
      <c r="EP37" s="18">
        <f>BS69</f>
        <v>1.838</v>
      </c>
      <c r="EQ37" s="18"/>
      <c r="ER37" s="18">
        <f>ROUND(BN6/8,3)</f>
        <v>0.375</v>
      </c>
      <c r="ES37" s="18"/>
      <c r="ET37" s="18">
        <f>-BS69</f>
        <v>-1.838</v>
      </c>
      <c r="EU37" s="18"/>
      <c r="EV37" s="18"/>
      <c r="EW37" s="25"/>
      <c r="EX37" s="49"/>
    </row>
    <row r="38" spans="6:153" ht="15.75" customHeight="1">
      <c r="F38" s="51">
        <f>IF(BY108=0,"",BY108)</f>
      </c>
      <c r="H38" t="s">
        <v>697</v>
      </c>
      <c r="I38" s="5" t="str">
        <f t="shared" si="26"/>
        <v>Cast iron, Nodular Grap., Malleable, &lt; 1000 N/mm2</v>
      </c>
      <c r="J38" s="87" t="s">
        <v>1089</v>
      </c>
      <c r="K38" s="5" t="s">
        <v>968</v>
      </c>
      <c r="L38" s="5" t="s">
        <v>1131</v>
      </c>
      <c r="M38" s="5" t="s">
        <v>729</v>
      </c>
      <c r="N38" s="5" t="s">
        <v>1011</v>
      </c>
      <c r="O38" t="s">
        <v>1751</v>
      </c>
      <c r="P38" s="34" t="s">
        <v>393</v>
      </c>
      <c r="Q38" s="5" t="s">
        <v>1318</v>
      </c>
      <c r="R38" s="5" t="s">
        <v>1813</v>
      </c>
      <c r="S38" s="5" t="s">
        <v>1277</v>
      </c>
      <c r="T38" s="34" t="s">
        <v>1652</v>
      </c>
      <c r="U38" s="34" t="s">
        <v>264</v>
      </c>
      <c r="V38" s="5" t="s">
        <v>1360</v>
      </c>
      <c r="W38" s="34" t="s">
        <v>508</v>
      </c>
      <c r="X38" s="34" t="s">
        <v>10</v>
      </c>
      <c r="Y38" s="5" t="s">
        <v>734</v>
      </c>
      <c r="Z38" s="98" t="s">
        <v>1433</v>
      </c>
      <c r="AA38" s="112" t="s">
        <v>1660</v>
      </c>
      <c r="AB38" s="101" t="s">
        <v>427</v>
      </c>
      <c r="AC38" s="119" t="s">
        <v>128</v>
      </c>
      <c r="AD38" s="107" t="s">
        <v>178</v>
      </c>
      <c r="AF38" s="4">
        <v>37</v>
      </c>
      <c r="AG38" s="4">
        <v>5</v>
      </c>
      <c r="AJ38" t="s">
        <v>1933</v>
      </c>
      <c r="AK38">
        <v>4</v>
      </c>
      <c r="AL38">
        <v>4</v>
      </c>
      <c r="AM38">
        <v>3</v>
      </c>
      <c r="AO38">
        <v>10</v>
      </c>
      <c r="AP38">
        <v>51</v>
      </c>
      <c r="AQ38">
        <v>4.9</v>
      </c>
      <c r="AS38" s="38">
        <f t="shared" si="28"/>
        <v>37</v>
      </c>
      <c r="AT38" s="25" t="b">
        <f t="shared" si="29"/>
        <v>0</v>
      </c>
      <c r="AU38" s="25" t="b">
        <f t="shared" si="30"/>
        <v>0</v>
      </c>
      <c r="AV38" s="25" t="b">
        <f t="shared" si="4"/>
        <v>0</v>
      </c>
      <c r="AW38" s="25" t="b">
        <f t="shared" si="5"/>
        <v>0</v>
      </c>
      <c r="BC38" s="17">
        <f>BC37+100</f>
        <v>200</v>
      </c>
      <c r="BD38" s="7">
        <v>1.135</v>
      </c>
      <c r="BE38" s="10">
        <f aca="true" t="shared" si="34" ref="BE38:BN48">BE37/1.1</f>
        <v>1.5909090909090908</v>
      </c>
      <c r="BF38" s="10">
        <f t="shared" si="34"/>
        <v>1.446280991735537</v>
      </c>
      <c r="BG38" s="10">
        <f t="shared" si="34"/>
        <v>1.3148009015777609</v>
      </c>
      <c r="BH38" s="10">
        <f t="shared" si="34"/>
        <v>1.1952735468888733</v>
      </c>
      <c r="BI38" s="10">
        <f t="shared" si="34"/>
        <v>1.0866123153535212</v>
      </c>
      <c r="BJ38" s="10">
        <f t="shared" si="34"/>
        <v>0.9878293775941102</v>
      </c>
      <c r="BK38" s="10">
        <f t="shared" si="34"/>
        <v>0.8980267069037364</v>
      </c>
      <c r="BL38" s="10">
        <f t="shared" si="34"/>
        <v>0.816387915367033</v>
      </c>
      <c r="BM38" s="10">
        <f t="shared" si="34"/>
        <v>0.7421708321518482</v>
      </c>
      <c r="BN38" s="10">
        <f>BN37/1.1</f>
        <v>0.6747007565016802</v>
      </c>
      <c r="BU38" s="33">
        <v>1010132</v>
      </c>
      <c r="BV38" s="33">
        <f t="shared" si="27"/>
        <v>0</v>
      </c>
      <c r="BX38" s="39"/>
      <c r="CL38" s="44"/>
      <c r="DU38" s="18"/>
      <c r="DX38" s="46"/>
      <c r="DY38" s="18"/>
      <c r="DZ38" s="18"/>
      <c r="EA38" s="18"/>
      <c r="EB38" s="18"/>
      <c r="EC38" s="18"/>
      <c r="ED38" s="18"/>
      <c r="EE38" s="18"/>
      <c r="EF38" s="18"/>
      <c r="EG38" s="18"/>
      <c r="EH38" s="18"/>
      <c r="EI38" s="18"/>
      <c r="EJ38" s="18"/>
      <c r="EN38" s="25">
        <f>INT(EN37)</f>
        <v>-2</v>
      </c>
      <c r="EP38" s="25">
        <f>INT(EP37)</f>
        <v>1</v>
      </c>
      <c r="ER38" s="25">
        <f>INT(ER37)</f>
        <v>0</v>
      </c>
      <c r="ET38" s="25">
        <f>INT(ET37)</f>
        <v>-2</v>
      </c>
      <c r="EW38" s="25"/>
    </row>
    <row r="39" spans="6:155" ht="15.75" customHeight="1">
      <c r="F39" s="51">
        <f>IF(BY111=0,"",BY111)</f>
      </c>
      <c r="H39" t="s">
        <v>698</v>
      </c>
      <c r="I39" s="5" t="str">
        <f t="shared" si="26"/>
        <v>Stainless steel, Free Machining</v>
      </c>
      <c r="J39" s="87" t="s">
        <v>1090</v>
      </c>
      <c r="K39" s="5" t="s">
        <v>969</v>
      </c>
      <c r="L39" s="5" t="s">
        <v>1132</v>
      </c>
      <c r="M39" s="5" t="s">
        <v>654</v>
      </c>
      <c r="N39" s="5" t="s">
        <v>799</v>
      </c>
      <c r="O39" t="s">
        <v>1752</v>
      </c>
      <c r="P39" s="34" t="s">
        <v>394</v>
      </c>
      <c r="Q39" s="5" t="s">
        <v>1324</v>
      </c>
      <c r="R39" s="5" t="s">
        <v>1814</v>
      </c>
      <c r="S39" s="5" t="s">
        <v>1278</v>
      </c>
      <c r="T39" s="34" t="s">
        <v>1653</v>
      </c>
      <c r="U39" s="34" t="s">
        <v>265</v>
      </c>
      <c r="V39" s="5" t="s">
        <v>1361</v>
      </c>
      <c r="W39" s="34" t="s">
        <v>509</v>
      </c>
      <c r="X39" s="34" t="s">
        <v>644</v>
      </c>
      <c r="Y39" s="5" t="s">
        <v>735</v>
      </c>
      <c r="Z39" s="98" t="s">
        <v>1502</v>
      </c>
      <c r="AA39" s="112" t="s">
        <v>1661</v>
      </c>
      <c r="AB39" s="101" t="s">
        <v>392</v>
      </c>
      <c r="AC39" s="119" t="s">
        <v>211</v>
      </c>
      <c r="AD39" s="107" t="s">
        <v>179</v>
      </c>
      <c r="AF39" s="4">
        <v>38</v>
      </c>
      <c r="AG39" s="4">
        <v>5</v>
      </c>
      <c r="AJ39" t="s">
        <v>1934</v>
      </c>
      <c r="AK39">
        <v>4</v>
      </c>
      <c r="AL39">
        <v>3.6</v>
      </c>
      <c r="AM39">
        <v>3</v>
      </c>
      <c r="AO39">
        <v>8.3</v>
      </c>
      <c r="AP39">
        <v>51</v>
      </c>
      <c r="AQ39">
        <v>4.4</v>
      </c>
      <c r="AS39" s="38">
        <f t="shared" si="28"/>
        <v>38</v>
      </c>
      <c r="AT39" s="25" t="b">
        <f t="shared" si="29"/>
        <v>0</v>
      </c>
      <c r="AU39" s="25" t="b">
        <f t="shared" si="30"/>
        <v>0</v>
      </c>
      <c r="AV39" s="25" t="b">
        <f t="shared" si="4"/>
        <v>0</v>
      </c>
      <c r="AW39" s="25" t="b">
        <f t="shared" si="5"/>
        <v>0</v>
      </c>
      <c r="BC39" s="17">
        <f aca="true" t="shared" si="35" ref="BC39:BC48">BC38+100</f>
        <v>300</v>
      </c>
      <c r="BD39" s="7">
        <f aca="true" t="shared" si="36" ref="BD39:BD48">BD38*1.135</f>
        <v>1.288225</v>
      </c>
      <c r="BE39" s="10">
        <f t="shared" si="34"/>
        <v>1.446280991735537</v>
      </c>
      <c r="BF39" s="10">
        <f t="shared" si="34"/>
        <v>1.3148009015777609</v>
      </c>
      <c r="BG39" s="10">
        <f t="shared" si="34"/>
        <v>1.1952735468888733</v>
      </c>
      <c r="BH39" s="10">
        <f t="shared" si="34"/>
        <v>1.0866123153535212</v>
      </c>
      <c r="BI39" s="10">
        <f t="shared" si="34"/>
        <v>0.9878293775941102</v>
      </c>
      <c r="BJ39" s="10">
        <f t="shared" si="34"/>
        <v>0.8980267069037364</v>
      </c>
      <c r="BK39" s="10">
        <f t="shared" si="34"/>
        <v>0.816387915367033</v>
      </c>
      <c r="BL39" s="10">
        <f t="shared" si="34"/>
        <v>0.7421708321518482</v>
      </c>
      <c r="BM39" s="10">
        <f t="shared" si="34"/>
        <v>0.6747007565016802</v>
      </c>
      <c r="BN39" s="10">
        <f>BN38/1.1</f>
        <v>0.6133643240924365</v>
      </c>
      <c r="BR39" s="25">
        <f>LOOKUP(BG12,AF2:AF198,AH2:AH198)</f>
        <v>1</v>
      </c>
      <c r="BU39" s="33"/>
      <c r="BV39" s="33"/>
      <c r="BX39" s="39">
        <v>12</v>
      </c>
      <c r="BY39" s="45">
        <f>LOOKUP(BV$54,BZ$5:DJ$5,BZ39:DJ39)</f>
        <v>0</v>
      </c>
      <c r="BZ39" s="45"/>
      <c r="CB39" s="44" t="str">
        <f>CONCATENATE(BX39,DL106,DM106,DN106)</f>
        <v>12 L IZ+34.25 FMAX</v>
      </c>
      <c r="CC39" s="44" t="str">
        <f>CA21</f>
        <v>G03 X-2. Y2. Z0.375 I-2. J0.</v>
      </c>
      <c r="CD39" s="44" t="str">
        <f>CONCATENATE(BX39,DY106,DZ106,EA106)</f>
        <v>12 L IZ-3.75 FMAX</v>
      </c>
      <c r="CE39" s="44" t="str">
        <f>CONCATENATE(EL39,EM39,EN39,EO39,EP39,EQ39,ER39,ES39,ET39,EU39,EV39,EW39)</f>
        <v>G03 X-1.838 Y1.838 Z0.375 I-1.838 J0.</v>
      </c>
      <c r="CF39" s="44" t="str">
        <f>CONCATENATE(BX39,EL106,EM106,EN106)</f>
        <v>12 L IZ-3.75 FMAX</v>
      </c>
      <c r="CG39" s="44" t="str">
        <f>EY39</f>
        <v>#2=#2+1</v>
      </c>
      <c r="CH39" s="44" t="str">
        <f>CONCATENATE(BX39,DL97,DM97,DN97)</f>
        <v>12 CC IX-2 IY+0</v>
      </c>
      <c r="CI39" s="44" t="str">
        <f>CC30</f>
        <v>G01 G41 X2. Y-2. F156</v>
      </c>
      <c r="CJ39" s="44" t="str">
        <f>CONCATENATE(BX39,DY97,DZ97,EA97)</f>
        <v>12 CC IX-1.733 IY+0</v>
      </c>
      <c r="CK39" s="4" t="str">
        <f>CE30</f>
        <v>G01 G41 X1.838 Y-1.838 F147</v>
      </c>
      <c r="CL39" s="44" t="str">
        <f>CONCATENATE(BX39,EL97,EM97,EN97)</f>
        <v>12 CC IX-1.595 IY+0</v>
      </c>
      <c r="CM39" s="4" t="str">
        <f>CA24</f>
        <v>G01 G40 X-2. Y-2.</v>
      </c>
      <c r="CN39" s="44" t="str">
        <f>CONCATENATE(BX39,EY118)</f>
        <v>12 FN 1: Q2 =+Q2 + +1</v>
      </c>
      <c r="CO39" s="44" t="str">
        <f>CC24</f>
        <v>G01 G40 X-1.733 Y-1.733</v>
      </c>
      <c r="CP39" s="44" t="str">
        <f>CN39</f>
        <v>12 FN 1: Q2 =+Q2 + +1</v>
      </c>
      <c r="CQ39" s="44" t="str">
        <f>CE24</f>
        <v>G01 G40 X-1.595 Y-1.595</v>
      </c>
      <c r="CR39" s="152" t="str">
        <f>CN39</f>
        <v>12 FN 1: Q2 =+Q2 + +1</v>
      </c>
      <c r="CT39" s="152" t="str">
        <f>CONCATENATE(BX39,DL88,FT24,DN88)</f>
        <v>12 CP IPA+90 IZ+0.75 DR+</v>
      </c>
      <c r="CU39" s="44" t="str">
        <f>CS12</f>
        <v>G01 G41 X2. Y-2. F156</v>
      </c>
      <c r="CV39" s="152" t="str">
        <f>CT39</f>
        <v>12 CP IPA+90 IZ+0.75 DR+</v>
      </c>
      <c r="CW39" s="44" t="str">
        <f>CE30</f>
        <v>G01 G41 X1.838 Y-1.838 F147</v>
      </c>
      <c r="CX39" s="152" t="str">
        <f>CV39</f>
        <v>12 CP IPA+90 IZ+0.75 DR+</v>
      </c>
      <c r="CZ39" s="44" t="str">
        <f>CY21</f>
        <v>G03 X0. C0. Z3. I-4. J0.</v>
      </c>
      <c r="DA39" s="44" t="str">
        <f>CONCATENATE(EL36,EM36,EN36,". C",EP36,EQ36,ER36,ES36,ET36,EU36,EV36,EW36)</f>
        <v>G03 X0. C0. Z3. I-3.676 J0.</v>
      </c>
      <c r="DB39" s="44" t="str">
        <f>CG36</f>
        <v>G00 Z35.25</v>
      </c>
      <c r="DC39" s="44" t="str">
        <f>CZ30</f>
        <v>G00 Z-3.75</v>
      </c>
      <c r="DD39" s="44" t="str">
        <f>DA30</f>
        <v>G00 Z-3.75</v>
      </c>
      <c r="DE39" s="44" t="str">
        <f>CY24</f>
        <v>G03 X-2. C2. Z0.375 I-2. J0.</v>
      </c>
      <c r="DF39" s="44" t="str">
        <f>CZ24</f>
        <v>G03 X-1.733 C1.733 Z0.375 I-1.733 J0.</v>
      </c>
      <c r="DG39" s="44" t="str">
        <f>DA24</f>
        <v>G03 X-1.595 C1.595 Z0.375 I-1.595 J0.</v>
      </c>
      <c r="DH39" s="44" t="str">
        <f>CY30</f>
        <v>G13.1</v>
      </c>
      <c r="DI39" s="44" t="str">
        <f>CZ30</f>
        <v>G00 Z-3.75</v>
      </c>
      <c r="DJ39" s="44" t="str">
        <f>DA30</f>
        <v>G00 Z-3.75</v>
      </c>
      <c r="DU39" s="18"/>
      <c r="DX39" s="46"/>
      <c r="DY39" s="18"/>
      <c r="DZ39" s="18"/>
      <c r="EA39" s="18"/>
      <c r="EB39" s="18"/>
      <c r="EC39" s="18"/>
      <c r="ED39" s="18"/>
      <c r="EE39" s="18"/>
      <c r="EF39" s="18"/>
      <c r="EG39" s="18"/>
      <c r="EH39" s="18"/>
      <c r="EI39" s="18"/>
      <c r="EJ39" s="18"/>
      <c r="EK39" s="49">
        <v>12</v>
      </c>
      <c r="EL39" s="18" t="s">
        <v>585</v>
      </c>
      <c r="EM39" s="18" t="s">
        <v>584</v>
      </c>
      <c r="EN39" s="18" t="str">
        <f>SUBSTITUTE(EN37,",",".")</f>
        <v>-1.838</v>
      </c>
      <c r="EO39" s="18" t="str">
        <f>IF(EN37=EN38,". Y"," Y")</f>
        <v> Y</v>
      </c>
      <c r="EP39" s="18" t="str">
        <f>SUBSTITUTE(EP37,",",".")</f>
        <v>1.838</v>
      </c>
      <c r="EQ39" s="18" t="str">
        <f>IF(EP37=EP38,". Z"," Z")</f>
        <v> Z</v>
      </c>
      <c r="ER39" s="18" t="str">
        <f>SUBSTITUTE(ER37,",",".")</f>
        <v>0.375</v>
      </c>
      <c r="ES39" s="18" t="str">
        <f>IF(ER37=ER38,". I"," I")</f>
        <v> I</v>
      </c>
      <c r="ET39" s="18" t="str">
        <f>SUBSTITUTE(ET37,",",".")</f>
        <v>-1.838</v>
      </c>
      <c r="EU39" s="18" t="str">
        <f>IF(ET37=ET38,". J"," J")</f>
        <v> J</v>
      </c>
      <c r="EV39" s="18">
        <v>0</v>
      </c>
      <c r="EW39" s="25" t="s">
        <v>1070</v>
      </c>
      <c r="EX39" s="49">
        <v>12</v>
      </c>
      <c r="EY39" s="147" t="s">
        <v>880</v>
      </c>
    </row>
    <row r="40" spans="6:168" ht="15.75" customHeight="1">
      <c r="F40" s="51">
        <f>IF(BY114=0,"",BY114)</f>
      </c>
      <c r="H40" t="s">
        <v>694</v>
      </c>
      <c r="I40" s="5" t="str">
        <f t="shared" si="26"/>
        <v>Stainless steel, Austenitic</v>
      </c>
      <c r="J40" s="87" t="s">
        <v>1091</v>
      </c>
      <c r="K40" s="5" t="s">
        <v>860</v>
      </c>
      <c r="L40" s="5" t="s">
        <v>1133</v>
      </c>
      <c r="M40" s="5" t="s">
        <v>632</v>
      </c>
      <c r="N40" s="5" t="s">
        <v>800</v>
      </c>
      <c r="O40" t="s">
        <v>1753</v>
      </c>
      <c r="P40" s="34" t="s">
        <v>395</v>
      </c>
      <c r="Q40" s="5" t="s">
        <v>1325</v>
      </c>
      <c r="R40" s="5" t="s">
        <v>1815</v>
      </c>
      <c r="S40" s="5" t="s">
        <v>1279</v>
      </c>
      <c r="T40" s="34" t="s">
        <v>1657</v>
      </c>
      <c r="U40" s="34" t="s">
        <v>267</v>
      </c>
      <c r="V40" s="5" t="s">
        <v>1362</v>
      </c>
      <c r="W40" s="34" t="s">
        <v>723</v>
      </c>
      <c r="X40" s="34" t="s">
        <v>2</v>
      </c>
      <c r="Y40" s="5" t="s">
        <v>736</v>
      </c>
      <c r="Z40" s="98" t="s">
        <v>1612</v>
      </c>
      <c r="AA40" s="112" t="s">
        <v>1662</v>
      </c>
      <c r="AB40" s="101" t="s">
        <v>512</v>
      </c>
      <c r="AC40" s="119" t="s">
        <v>212</v>
      </c>
      <c r="AD40" s="107" t="s">
        <v>180</v>
      </c>
      <c r="AF40" s="4">
        <v>39</v>
      </c>
      <c r="AG40" s="4">
        <v>5</v>
      </c>
      <c r="AJ40" t="s">
        <v>1935</v>
      </c>
      <c r="AK40">
        <v>4</v>
      </c>
      <c r="AL40">
        <v>3.6</v>
      </c>
      <c r="AM40">
        <v>3</v>
      </c>
      <c r="AO40">
        <v>12</v>
      </c>
      <c r="AP40">
        <v>51</v>
      </c>
      <c r="AQ40">
        <v>4.4</v>
      </c>
      <c r="AS40" s="38">
        <f t="shared" si="28"/>
        <v>39</v>
      </c>
      <c r="AT40" s="25" t="b">
        <f t="shared" si="29"/>
        <v>0</v>
      </c>
      <c r="AU40" s="25" t="b">
        <f t="shared" si="30"/>
        <v>0</v>
      </c>
      <c r="AV40" s="25" t="b">
        <f t="shared" si="4"/>
        <v>0</v>
      </c>
      <c r="AW40" s="25" t="b">
        <f t="shared" si="5"/>
        <v>0</v>
      </c>
      <c r="BC40" s="17">
        <f t="shared" si="35"/>
        <v>400</v>
      </c>
      <c r="BD40" s="7">
        <f t="shared" si="36"/>
        <v>1.462135375</v>
      </c>
      <c r="BE40" s="10">
        <f t="shared" si="34"/>
        <v>1.3148009015777609</v>
      </c>
      <c r="BF40" s="10">
        <f t="shared" si="34"/>
        <v>1.1952735468888733</v>
      </c>
      <c r="BG40" s="10">
        <f t="shared" si="34"/>
        <v>1.0866123153535212</v>
      </c>
      <c r="BH40" s="10">
        <f t="shared" si="34"/>
        <v>0.9878293775941102</v>
      </c>
      <c r="BI40" s="10">
        <f t="shared" si="34"/>
        <v>0.8980267069037364</v>
      </c>
      <c r="BJ40" s="10">
        <f t="shared" si="34"/>
        <v>0.816387915367033</v>
      </c>
      <c r="BK40" s="10">
        <f t="shared" si="34"/>
        <v>0.7421708321518482</v>
      </c>
      <c r="BL40" s="10">
        <f t="shared" si="34"/>
        <v>0.6747007565016802</v>
      </c>
      <c r="BM40" s="10">
        <f t="shared" si="34"/>
        <v>0.6133643240924365</v>
      </c>
      <c r="BN40" s="10">
        <f>BN39/1.1</f>
        <v>0.557603930993124</v>
      </c>
      <c r="BR40" s="25" t="b">
        <f>ISNA(BR39)</f>
        <v>0</v>
      </c>
      <c r="BU40" s="33"/>
      <c r="BV40" s="33"/>
      <c r="BX40" s="39"/>
      <c r="CL40" s="44"/>
      <c r="DU40" s="18"/>
      <c r="DX40" s="46"/>
      <c r="DY40" s="18"/>
      <c r="DZ40" s="18"/>
      <c r="EA40" s="18"/>
      <c r="EB40" s="18"/>
      <c r="EC40" s="18"/>
      <c r="ED40" s="18"/>
      <c r="EE40" s="18"/>
      <c r="EF40" s="18"/>
      <c r="EG40" s="18"/>
      <c r="EH40" s="18"/>
      <c r="EI40" s="18"/>
      <c r="EJ40" s="18"/>
      <c r="EK40" s="49"/>
      <c r="EL40" s="18"/>
      <c r="EM40" s="18"/>
      <c r="EN40" s="18"/>
      <c r="EO40" s="18">
        <f>-BS69</f>
        <v>-1.838</v>
      </c>
      <c r="EP40" s="18"/>
      <c r="EQ40" s="18">
        <f>-BS69</f>
        <v>-1.838</v>
      </c>
      <c r="ER40" s="18"/>
      <c r="ES40" s="18"/>
      <c r="ET40" s="18"/>
      <c r="EU40" s="18"/>
      <c r="EV40" s="18"/>
      <c r="EW40" s="25"/>
      <c r="EX40" s="49"/>
      <c r="FF40" s="33">
        <f>ROUND(-DO7-DR13-(BR48*DR16)-DR19,3)</f>
        <v>1.25</v>
      </c>
      <c r="FI40"/>
      <c r="FJ40"/>
      <c r="FK40" s="33">
        <f>ROUND(-DR13-(BR48*DR16)-DR19,3)</f>
        <v>-36.75</v>
      </c>
      <c r="FL40"/>
    </row>
    <row r="41" spans="6:168" ht="15.75" customHeight="1">
      <c r="F41" s="51">
        <f>IF(BY117=0,"",BY117)</f>
      </c>
      <c r="H41" t="s">
        <v>1183</v>
      </c>
      <c r="I41" s="5" t="str">
        <f t="shared" si="26"/>
        <v>Stainless steel, Ferritic and Austenitic</v>
      </c>
      <c r="J41" s="87" t="s">
        <v>1092</v>
      </c>
      <c r="K41" s="5" t="s">
        <v>996</v>
      </c>
      <c r="L41" s="5" t="s">
        <v>1168</v>
      </c>
      <c r="M41" s="5" t="s">
        <v>572</v>
      </c>
      <c r="N41" s="5" t="s">
        <v>773</v>
      </c>
      <c r="O41" t="s">
        <v>1754</v>
      </c>
      <c r="P41" s="34" t="s">
        <v>335</v>
      </c>
      <c r="Q41" s="5" t="s">
        <v>1330</v>
      </c>
      <c r="R41" s="5" t="s">
        <v>1816</v>
      </c>
      <c r="S41" s="5" t="s">
        <v>1280</v>
      </c>
      <c r="T41" s="34" t="s">
        <v>1625</v>
      </c>
      <c r="U41" s="34" t="s">
        <v>247</v>
      </c>
      <c r="V41" s="5" t="s">
        <v>1363</v>
      </c>
      <c r="W41" s="34" t="s">
        <v>640</v>
      </c>
      <c r="X41" s="34" t="s">
        <v>3</v>
      </c>
      <c r="Y41" s="5" t="s">
        <v>737</v>
      </c>
      <c r="Z41" s="98" t="s">
        <v>1613</v>
      </c>
      <c r="AA41" s="112" t="s">
        <v>1568</v>
      </c>
      <c r="AB41" s="101" t="s">
        <v>513</v>
      </c>
      <c r="AC41" s="119" t="s">
        <v>74</v>
      </c>
      <c r="AD41" s="107" t="s">
        <v>181</v>
      </c>
      <c r="AF41" s="4">
        <v>40</v>
      </c>
      <c r="AG41" s="4">
        <v>5</v>
      </c>
      <c r="AJ41" t="s">
        <v>1936</v>
      </c>
      <c r="AK41">
        <v>3</v>
      </c>
      <c r="AL41">
        <v>3</v>
      </c>
      <c r="AM41">
        <v>3</v>
      </c>
      <c r="AO41">
        <v>7.1</v>
      </c>
      <c r="AP41">
        <v>39</v>
      </c>
      <c r="AQ41">
        <v>3.4</v>
      </c>
      <c r="AS41" s="38">
        <f t="shared" si="28"/>
        <v>40</v>
      </c>
      <c r="AT41" s="25" t="b">
        <f t="shared" si="29"/>
        <v>0</v>
      </c>
      <c r="AU41" s="25" t="b">
        <f t="shared" si="30"/>
        <v>0</v>
      </c>
      <c r="AV41" s="25" t="b">
        <f t="shared" si="4"/>
        <v>0</v>
      </c>
      <c r="AW41" s="25" t="b">
        <f t="shared" si="5"/>
        <v>0</v>
      </c>
      <c r="BC41" s="17">
        <f t="shared" si="35"/>
        <v>500</v>
      </c>
      <c r="BD41" s="7">
        <f t="shared" si="36"/>
        <v>1.659523650625</v>
      </c>
      <c r="BE41" s="10">
        <f t="shared" si="34"/>
        <v>1.1952735468888733</v>
      </c>
      <c r="BF41" s="10">
        <f t="shared" si="34"/>
        <v>1.0866123153535212</v>
      </c>
      <c r="BG41" s="10">
        <f t="shared" si="34"/>
        <v>0.9878293775941102</v>
      </c>
      <c r="BH41" s="10">
        <f t="shared" si="34"/>
        <v>0.8980267069037364</v>
      </c>
      <c r="BI41" s="10">
        <f t="shared" si="34"/>
        <v>0.816387915367033</v>
      </c>
      <c r="BJ41" s="10">
        <f t="shared" si="34"/>
        <v>0.7421708321518482</v>
      </c>
      <c r="BK41" s="10">
        <f t="shared" si="34"/>
        <v>0.6747007565016802</v>
      </c>
      <c r="BL41" s="10">
        <f t="shared" si="34"/>
        <v>0.6133643240924365</v>
      </c>
      <c r="BM41" s="10">
        <f t="shared" si="34"/>
        <v>0.557603930993124</v>
      </c>
      <c r="BN41" s="10">
        <f t="shared" si="34"/>
        <v>0.5069126645392036</v>
      </c>
      <c r="BR41" s="43">
        <f>IF(BR40=FALSE,BR39,"")</f>
        <v>1</v>
      </c>
      <c r="BU41" s="33"/>
      <c r="BV41" s="33"/>
      <c r="BX41" s="39"/>
      <c r="CL41" s="44"/>
      <c r="DU41" s="18"/>
      <c r="DX41" s="46"/>
      <c r="DY41" s="18"/>
      <c r="DZ41" s="18"/>
      <c r="EA41" s="18"/>
      <c r="EB41" s="18"/>
      <c r="EC41" s="18"/>
      <c r="ED41" s="18"/>
      <c r="EE41" s="18"/>
      <c r="EF41" s="18"/>
      <c r="EG41" s="18"/>
      <c r="EH41" s="18"/>
      <c r="EI41" s="18"/>
      <c r="EJ41" s="18"/>
      <c r="EO41" s="25">
        <f>INT(EO40)</f>
        <v>-2</v>
      </c>
      <c r="EQ41" s="25">
        <f>INT(EQ40)</f>
        <v>-2</v>
      </c>
      <c r="EW41" s="25"/>
      <c r="FF41" s="25">
        <f>INT(FF40)</f>
        <v>1</v>
      </c>
      <c r="FI41"/>
      <c r="FJ41"/>
      <c r="FK41" s="25">
        <f>INT(FK40)</f>
        <v>-37</v>
      </c>
      <c r="FL41"/>
    </row>
    <row r="42" spans="6:168" ht="15.75" customHeight="1">
      <c r="F42" s="51">
        <f>IF(BY120=0,"",BY120)</f>
      </c>
      <c r="H42" t="s">
        <v>685</v>
      </c>
      <c r="I42" s="5" t="str">
        <f t="shared" si="26"/>
        <v>Titanium, Unalloyed, &lt; 700 N/mm2</v>
      </c>
      <c r="J42" s="87" t="s">
        <v>1093</v>
      </c>
      <c r="K42" s="5" t="s">
        <v>966</v>
      </c>
      <c r="L42" s="5" t="s">
        <v>1136</v>
      </c>
      <c r="M42" s="5" t="s">
        <v>745</v>
      </c>
      <c r="N42" s="5" t="s">
        <v>774</v>
      </c>
      <c r="O42" t="s">
        <v>1755</v>
      </c>
      <c r="P42" s="34" t="s">
        <v>336</v>
      </c>
      <c r="Q42" s="5" t="s">
        <v>1331</v>
      </c>
      <c r="R42" s="5" t="s">
        <v>1817</v>
      </c>
      <c r="S42" s="5" t="s">
        <v>1139</v>
      </c>
      <c r="T42" s="34" t="s">
        <v>1626</v>
      </c>
      <c r="U42" s="5" t="s">
        <v>248</v>
      </c>
      <c r="V42" s="5" t="s">
        <v>1319</v>
      </c>
      <c r="W42" s="34" t="s">
        <v>641</v>
      </c>
      <c r="X42" s="34" t="s">
        <v>98</v>
      </c>
      <c r="Y42" s="5" t="s">
        <v>862</v>
      </c>
      <c r="Z42" s="98" t="s">
        <v>1614</v>
      </c>
      <c r="AA42" s="112" t="s">
        <v>1569</v>
      </c>
      <c r="AB42" s="101" t="s">
        <v>514</v>
      </c>
      <c r="AC42" s="119" t="s">
        <v>32</v>
      </c>
      <c r="AD42" s="107" t="s">
        <v>182</v>
      </c>
      <c r="AF42" s="4">
        <v>41</v>
      </c>
      <c r="AG42" s="4">
        <v>5</v>
      </c>
      <c r="AJ42" t="s">
        <v>1937</v>
      </c>
      <c r="AK42">
        <v>3</v>
      </c>
      <c r="AL42">
        <v>3</v>
      </c>
      <c r="AM42">
        <v>3</v>
      </c>
      <c r="AO42">
        <v>10.2</v>
      </c>
      <c r="AP42">
        <v>39</v>
      </c>
      <c r="AQ42">
        <v>3.4</v>
      </c>
      <c r="AS42" s="38">
        <f t="shared" si="28"/>
        <v>41</v>
      </c>
      <c r="AT42" s="25" t="b">
        <f t="shared" si="29"/>
        <v>0</v>
      </c>
      <c r="AU42" s="25" t="b">
        <f t="shared" si="30"/>
        <v>0</v>
      </c>
      <c r="AV42" s="25" t="b">
        <f t="shared" si="4"/>
        <v>0</v>
      </c>
      <c r="AW42" s="25" t="b">
        <f t="shared" si="5"/>
        <v>0</v>
      </c>
      <c r="BC42" s="17">
        <f t="shared" si="35"/>
        <v>600</v>
      </c>
      <c r="BD42" s="7">
        <f t="shared" si="36"/>
        <v>1.883559343459375</v>
      </c>
      <c r="BE42" s="10">
        <f t="shared" si="34"/>
        <v>1.0866123153535212</v>
      </c>
      <c r="BF42" s="10">
        <f t="shared" si="34"/>
        <v>0.9878293775941102</v>
      </c>
      <c r="BG42" s="10">
        <f t="shared" si="34"/>
        <v>0.8980267069037364</v>
      </c>
      <c r="BH42" s="10">
        <f t="shared" si="34"/>
        <v>0.816387915367033</v>
      </c>
      <c r="BI42" s="10">
        <f t="shared" si="34"/>
        <v>0.7421708321518482</v>
      </c>
      <c r="BJ42" s="10">
        <f t="shared" si="34"/>
        <v>0.6747007565016802</v>
      </c>
      <c r="BK42" s="10">
        <f t="shared" si="34"/>
        <v>0.6133643240924365</v>
      </c>
      <c r="BL42" s="10">
        <f t="shared" si="34"/>
        <v>0.557603930993124</v>
      </c>
      <c r="BM42" s="10">
        <f t="shared" si="34"/>
        <v>0.5069126645392036</v>
      </c>
      <c r="BN42" s="10">
        <f t="shared" si="34"/>
        <v>0.4608296950356396</v>
      </c>
      <c r="BQ42" s="7" t="s">
        <v>883</v>
      </c>
      <c r="BR42" s="27">
        <f>IF(BM62=BN6,2,BR41)</f>
        <v>1</v>
      </c>
      <c r="BU42" s="33"/>
      <c r="BV42" s="33"/>
      <c r="BX42" s="39">
        <v>13</v>
      </c>
      <c r="BY42" s="45">
        <f>LOOKUP(BV$54,BZ$5:DJ$5,BZ42:DJ42)</f>
        <v>0</v>
      </c>
      <c r="BZ42" s="45"/>
      <c r="CC42" s="44" t="str">
        <f>CA24</f>
        <v>G01 G40 X-2. Y-2.</v>
      </c>
      <c r="CD42" s="44" t="str">
        <f>CONCATENATE(BX42,DL82,DM82,DN82,DO82,DP82,DQ82)</f>
        <v>13 L IX+2 IY-2 RL F156</v>
      </c>
      <c r="CE42" s="44" t="str">
        <f>CONCATENATE(EL42,EM42,EN42,EO42,EP42,EQ42,ER42)</f>
        <v>G01 G40 X-1.838 Y-1.838</v>
      </c>
      <c r="CF42" s="44" t="str">
        <f>CONCATENATE(BX42,EL109,EM109,EN109,EO109,EP109,EQ109)</f>
        <v>13 L IX+1.838 IY-1.838 RL F147</v>
      </c>
      <c r="CG42" s="44" t="str">
        <f>EY42</f>
        <v>END1</v>
      </c>
      <c r="CH42" s="44" t="str">
        <f>CONCATENATE(BX42,DL100,DM100,DN100)</f>
        <v>13 CP IPA+90 IZ+0.375 DR+</v>
      </c>
      <c r="CI42" s="44" t="str">
        <f>CC33</f>
        <v>G03 X2. Y2. Z0.375 I0. J2.</v>
      </c>
      <c r="CJ42" s="44" t="str">
        <f>CONCATENATE(BX42,DL100,DM100,DN100)</f>
        <v>13 CP IPA+90 IZ+0.375 DR+</v>
      </c>
      <c r="CK42" s="4" t="str">
        <f>CE33</f>
        <v>G03 X1.838 Y1.838 Z0.375 I0. J1.838</v>
      </c>
      <c r="CL42" s="44" t="str">
        <f>CONCATENATE(BX42,DL100,DM100,DN100)</f>
        <v>13 CP IPA+90 IZ+0.375 DR+</v>
      </c>
      <c r="CM42" s="4" t="str">
        <f>CONCATENATE(FD42,FE42,FF42,FG42)</f>
        <v>G00 Z1.25</v>
      </c>
      <c r="CN42" s="44" t="str">
        <f>CONCATENATE(BX42,EY121)</f>
        <v>13 FN 12: IF +Q2 LT +Q1 GOTO LBL 101</v>
      </c>
      <c r="CO42" s="44" t="str">
        <f>CONCATENATE(FI42,FJ42,FK42,FL42)</f>
        <v>G00 Z-36.75</v>
      </c>
      <c r="CP42" s="44" t="str">
        <f>CN42</f>
        <v>13 FN 12: IF +Q2 LT +Q1 GOTO LBL 101</v>
      </c>
      <c r="CQ42" s="44" t="str">
        <f>CO42</f>
        <v>G00 Z-36.75</v>
      </c>
      <c r="CR42" s="152" t="str">
        <f>CN42</f>
        <v>13 FN 12: IF +Q2 LT +Q1 GOTO LBL 101</v>
      </c>
      <c r="CT42" s="152" t="str">
        <f>CONCATENATE(BX42,FN103,FV27,FN91,FX27)</f>
        <v>13 CC IX+0.023 IY+4.069</v>
      </c>
      <c r="CU42" s="44" t="str">
        <f>CS15</f>
        <v>G03 X2. Y2. Z0.375 I0. J2.</v>
      </c>
      <c r="CV42" s="152" t="str">
        <f>CONCATENATE(BX42,FN103,GI27,FN91,GK27)</f>
        <v>13 CC IX+0.023 IY+3.535</v>
      </c>
      <c r="CW42" s="44" t="str">
        <f>CE33</f>
        <v>G03 X1.838 Y1.838 Z0.375 I0. J1.838</v>
      </c>
      <c r="CX42" s="152" t="str">
        <f>CONCATENATE(BX42,FN103,GV27,FN91,GX27)</f>
        <v>13 CC IX+0.023 IY+3.259</v>
      </c>
      <c r="CZ42" s="44" t="str">
        <f>CY24</f>
        <v>G03 X-2. C2. Z0.375 I-2. J0.</v>
      </c>
      <c r="DA42" s="44" t="str">
        <f>CONCATENATE(EL39,EM39,EN39,HE33,EP39,EQ39,ER39,ES39,ET39,EU39,EV39,EW39)</f>
        <v>G03 X-1.838 C1.838 Z0.375 I-1.838 J0.</v>
      </c>
      <c r="DB42" s="44" t="str">
        <f>CG39</f>
        <v>#2=#2+1</v>
      </c>
      <c r="DC42" s="44" t="str">
        <f>CZ33</f>
        <v>G01 G41 X2. C-2. F156</v>
      </c>
      <c r="DD42" s="44" t="str">
        <f>DA33</f>
        <v>G01 G41 X1.838 C-1.838 F147</v>
      </c>
      <c r="DE42" s="44" t="str">
        <f>CY27</f>
        <v>G01 G40 X-2. C-2.</v>
      </c>
      <c r="DF42" s="44" t="str">
        <f>CZ27</f>
        <v>G01 G40 X-1.733 C-1.733</v>
      </c>
      <c r="DG42" s="44" t="str">
        <f>DA27</f>
        <v>G01 G40 X-1.595 C-1.595</v>
      </c>
      <c r="DH42" s="44" t="str">
        <f>CY33</f>
        <v>G00 Z34.25</v>
      </c>
      <c r="DI42" s="44" t="str">
        <f>DH15</f>
        <v>G01 G41 X2. C-2. F156</v>
      </c>
      <c r="DJ42" s="44" t="str">
        <f>DA33</f>
        <v>G01 G41 X1.838 C-1.838 F147</v>
      </c>
      <c r="DU42" s="18"/>
      <c r="DX42" s="46"/>
      <c r="DY42" s="18"/>
      <c r="DZ42" s="18"/>
      <c r="EA42" s="18"/>
      <c r="EB42" s="18"/>
      <c r="EC42" s="18"/>
      <c r="ED42" s="18"/>
      <c r="EE42" s="18"/>
      <c r="EF42" s="18"/>
      <c r="EG42" s="18"/>
      <c r="EH42" s="18"/>
      <c r="EI42" s="18"/>
      <c r="EJ42" s="18"/>
      <c r="EK42" s="49">
        <v>13</v>
      </c>
      <c r="EL42" s="18" t="s">
        <v>582</v>
      </c>
      <c r="EM42" s="18" t="s">
        <v>576</v>
      </c>
      <c r="EN42" s="18" t="s">
        <v>584</v>
      </c>
      <c r="EO42" s="18" t="str">
        <f>SUBSTITUTE(EO40,",",".")</f>
        <v>-1.838</v>
      </c>
      <c r="EP42" s="18" t="str">
        <f>IF(EO40=EO41,". Y"," Y")</f>
        <v> Y</v>
      </c>
      <c r="EQ42" s="18" t="str">
        <f>SUBSTITUTE(EQ40,",",".")</f>
        <v>-1.838</v>
      </c>
      <c r="ER42" s="18">
        <f>IF(EQ40=EQ41,".","")</f>
      </c>
      <c r="ES42" s="18"/>
      <c r="ET42" s="18"/>
      <c r="EU42" s="18"/>
      <c r="EV42" s="18"/>
      <c r="EW42" s="25"/>
      <c r="EX42" s="49">
        <v>13</v>
      </c>
      <c r="EY42" s="147" t="s">
        <v>861</v>
      </c>
      <c r="FC42" s="49">
        <v>13</v>
      </c>
      <c r="FD42" s="18" t="s">
        <v>579</v>
      </c>
      <c r="FE42" s="18" t="s">
        <v>581</v>
      </c>
      <c r="FF42" s="11" t="str">
        <f>SUBSTITUTE(FF40,",",".")</f>
        <v>1.25</v>
      </c>
      <c r="FG42" s="18">
        <f>IF(FF40=FF41,".","")</f>
      </c>
      <c r="FH42" s="49">
        <v>13</v>
      </c>
      <c r="FI42" s="18" t="s">
        <v>579</v>
      </c>
      <c r="FJ42" s="18" t="s">
        <v>581</v>
      </c>
      <c r="FK42" s="11" t="str">
        <f>SUBSTITUTE(FK40,",",".")</f>
        <v>-36.75</v>
      </c>
      <c r="FL42" s="18">
        <f>IF(FK40=FK41,".","")</f>
      </c>
    </row>
    <row r="43" spans="6:206" ht="15.75" customHeight="1">
      <c r="F43" s="51">
        <f>IF(BY123=0,"",BY123)</f>
      </c>
      <c r="H43" t="s">
        <v>851</v>
      </c>
      <c r="I43" s="5" t="str">
        <f t="shared" si="26"/>
        <v>Titanium, Alloyed, &lt; 900 N/mm2</v>
      </c>
      <c r="J43" s="87" t="s">
        <v>1052</v>
      </c>
      <c r="K43" s="5" t="s">
        <v>967</v>
      </c>
      <c r="L43" s="5" t="s">
        <v>1190</v>
      </c>
      <c r="M43" s="5" t="s">
        <v>652</v>
      </c>
      <c r="N43" s="5" t="s">
        <v>747</v>
      </c>
      <c r="O43" t="s">
        <v>1756</v>
      </c>
      <c r="P43" s="34" t="s">
        <v>337</v>
      </c>
      <c r="Q43" s="5" t="s">
        <v>1372</v>
      </c>
      <c r="R43" s="5" t="s">
        <v>1818</v>
      </c>
      <c r="S43" s="5" t="s">
        <v>1140</v>
      </c>
      <c r="T43" s="34" t="s">
        <v>1627</v>
      </c>
      <c r="U43" s="5" t="s">
        <v>249</v>
      </c>
      <c r="V43" s="5" t="s">
        <v>1320</v>
      </c>
      <c r="W43" s="34" t="s">
        <v>647</v>
      </c>
      <c r="X43" s="34" t="s">
        <v>99</v>
      </c>
      <c r="Y43" s="5" t="s">
        <v>863</v>
      </c>
      <c r="Z43" s="98" t="s">
        <v>1615</v>
      </c>
      <c r="AA43" s="112" t="s">
        <v>1570</v>
      </c>
      <c r="AB43" s="101" t="s">
        <v>515</v>
      </c>
      <c r="AC43" s="119" t="s">
        <v>33</v>
      </c>
      <c r="AD43" s="107" t="s">
        <v>301</v>
      </c>
      <c r="AF43" s="4">
        <v>42</v>
      </c>
      <c r="AG43" s="4">
        <v>5</v>
      </c>
      <c r="AJ43" t="s">
        <v>1938</v>
      </c>
      <c r="AK43">
        <v>3</v>
      </c>
      <c r="AL43">
        <v>2.6</v>
      </c>
      <c r="AM43">
        <v>3</v>
      </c>
      <c r="AO43">
        <v>8.7</v>
      </c>
      <c r="AP43">
        <v>39</v>
      </c>
      <c r="AQ43">
        <v>2.9</v>
      </c>
      <c r="AS43" s="38">
        <f t="shared" si="28"/>
        <v>42</v>
      </c>
      <c r="AT43" s="25" t="b">
        <f t="shared" si="29"/>
        <v>0</v>
      </c>
      <c r="AU43" s="25" t="b">
        <f t="shared" si="30"/>
        <v>0</v>
      </c>
      <c r="AV43" s="25" t="b">
        <f t="shared" si="4"/>
        <v>0</v>
      </c>
      <c r="AW43" s="25" t="b">
        <f t="shared" si="5"/>
        <v>0</v>
      </c>
      <c r="BC43" s="17">
        <f t="shared" si="35"/>
        <v>700</v>
      </c>
      <c r="BD43" s="7">
        <f t="shared" si="36"/>
        <v>2.1378398548263906</v>
      </c>
      <c r="BE43" s="10">
        <f t="shared" si="34"/>
        <v>0.9878293775941102</v>
      </c>
      <c r="BF43" s="10">
        <f t="shared" si="34"/>
        <v>0.8980267069037364</v>
      </c>
      <c r="BG43" s="10">
        <f t="shared" si="34"/>
        <v>0.816387915367033</v>
      </c>
      <c r="BH43" s="10">
        <f t="shared" si="34"/>
        <v>0.7421708321518482</v>
      </c>
      <c r="BI43" s="10">
        <f t="shared" si="34"/>
        <v>0.6747007565016802</v>
      </c>
      <c r="BJ43" s="10">
        <f t="shared" si="34"/>
        <v>0.6133643240924365</v>
      </c>
      <c r="BK43" s="10">
        <f t="shared" si="34"/>
        <v>0.557603930993124</v>
      </c>
      <c r="BL43" s="10">
        <f t="shared" si="34"/>
        <v>0.5069126645392036</v>
      </c>
      <c r="BM43" s="10">
        <f t="shared" si="34"/>
        <v>0.4608296950356396</v>
      </c>
      <c r="BN43" s="10">
        <f t="shared" si="34"/>
        <v>0.41893608639603597</v>
      </c>
      <c r="BU43" s="33"/>
      <c r="BV43" s="33"/>
      <c r="BX43" s="39"/>
      <c r="CL43" s="44"/>
      <c r="DU43" s="18"/>
      <c r="DX43" s="46"/>
      <c r="DY43" s="18"/>
      <c r="DZ43" s="18"/>
      <c r="EA43" s="18"/>
      <c r="EB43" s="18"/>
      <c r="EC43" s="18"/>
      <c r="ED43" s="18"/>
      <c r="EE43" s="18"/>
      <c r="EF43" s="18"/>
      <c r="EG43" s="18"/>
      <c r="EH43" s="18"/>
      <c r="EI43" s="18"/>
      <c r="EJ43" s="18"/>
      <c r="EK43" s="49"/>
      <c r="EL43" s="18"/>
      <c r="EM43" s="18"/>
      <c r="EN43" s="11">
        <f>-ER31-ER34-ER37</f>
        <v>-3.75</v>
      </c>
      <c r="EO43" s="18"/>
      <c r="EP43" s="18"/>
      <c r="EQ43" s="18"/>
      <c r="ER43" s="18"/>
      <c r="ES43" s="18"/>
      <c r="ET43" s="18"/>
      <c r="EU43" s="18"/>
      <c r="EV43" s="18"/>
      <c r="EW43" s="25"/>
      <c r="EX43" s="49"/>
      <c r="EY43" s="147"/>
      <c r="EZ43" s="147"/>
      <c r="FA43" s="149">
        <f>ROUND((C16+C17)-(BR9*BR7),3)</f>
        <v>-1</v>
      </c>
      <c r="FB43" s="147"/>
      <c r="GP43" s="33">
        <f>-(2*BS69)</f>
        <v>-3.676</v>
      </c>
      <c r="GR43" s="33">
        <f>ROUND(2*BS69+(TAN(1.783*PI()/180)*BN6/4),3)</f>
        <v>3.699</v>
      </c>
      <c r="GT43" s="33">
        <f>ROUND(BN6/4,3)</f>
        <v>0.75</v>
      </c>
      <c r="GV43" s="33">
        <f>-(2*BS69)</f>
        <v>-3.676</v>
      </c>
      <c r="GX43" s="33">
        <f>ROUND(TAN(1.783*PI()/180)*BN6/4,3)</f>
        <v>0.023</v>
      </c>
    </row>
    <row r="44" spans="6:206" ht="15.75" customHeight="1">
      <c r="F44" s="51">
        <f>IF(BY126=0,"",BY126)</f>
      </c>
      <c r="H44" t="s">
        <v>708</v>
      </c>
      <c r="I44" s="5" t="str">
        <f t="shared" si="26"/>
        <v>Titanium, Alloyed, &lt; 1250 N/mm2</v>
      </c>
      <c r="J44" s="87" t="s">
        <v>1053</v>
      </c>
      <c r="K44" s="5" t="s">
        <v>1101</v>
      </c>
      <c r="L44" s="5" t="s">
        <v>1180</v>
      </c>
      <c r="M44" s="5" t="s">
        <v>733</v>
      </c>
      <c r="N44" s="5" t="s">
        <v>748</v>
      </c>
      <c r="O44" t="s">
        <v>1757</v>
      </c>
      <c r="P44" s="34" t="s">
        <v>338</v>
      </c>
      <c r="Q44" s="5" t="s">
        <v>1373</v>
      </c>
      <c r="R44" s="5" t="s">
        <v>1819</v>
      </c>
      <c r="S44" s="5" t="s">
        <v>1410</v>
      </c>
      <c r="T44" s="34" t="s">
        <v>1628</v>
      </c>
      <c r="U44" s="5" t="s">
        <v>250</v>
      </c>
      <c r="V44" s="5" t="s">
        <v>1321</v>
      </c>
      <c r="W44" s="34" t="s">
        <v>648</v>
      </c>
      <c r="X44" s="34" t="s">
        <v>39</v>
      </c>
      <c r="Y44" s="5" t="s">
        <v>842</v>
      </c>
      <c r="Z44" s="98" t="s">
        <v>1616</v>
      </c>
      <c r="AA44" s="112" t="s">
        <v>1571</v>
      </c>
      <c r="AB44" s="101" t="s">
        <v>341</v>
      </c>
      <c r="AC44" s="119" t="s">
        <v>34</v>
      </c>
      <c r="AD44" s="107" t="s">
        <v>302</v>
      </c>
      <c r="AF44" s="4">
        <v>43</v>
      </c>
      <c r="AG44" s="4">
        <v>5</v>
      </c>
      <c r="AJ44" t="s">
        <v>1939</v>
      </c>
      <c r="AK44">
        <v>3</v>
      </c>
      <c r="AL44">
        <v>2.6</v>
      </c>
      <c r="AM44">
        <v>3</v>
      </c>
      <c r="AO44">
        <v>6.1</v>
      </c>
      <c r="AP44">
        <v>39</v>
      </c>
      <c r="AQ44">
        <v>2.9</v>
      </c>
      <c r="AS44" s="38">
        <f t="shared" si="28"/>
        <v>43</v>
      </c>
      <c r="AT44" s="25" t="b">
        <f t="shared" si="29"/>
        <v>0</v>
      </c>
      <c r="AU44" s="25" t="b">
        <f t="shared" si="30"/>
        <v>0</v>
      </c>
      <c r="AV44" s="25" t="b">
        <f t="shared" si="4"/>
        <v>0</v>
      </c>
      <c r="AW44" s="25" t="b">
        <f t="shared" si="5"/>
        <v>0</v>
      </c>
      <c r="BC44" s="17">
        <f t="shared" si="35"/>
        <v>800</v>
      </c>
      <c r="BD44" s="7">
        <f t="shared" si="36"/>
        <v>2.4264482352279533</v>
      </c>
      <c r="BE44" s="10">
        <f t="shared" si="34"/>
        <v>0.8980267069037364</v>
      </c>
      <c r="BF44" s="10">
        <f t="shared" si="34"/>
        <v>0.816387915367033</v>
      </c>
      <c r="BG44" s="10">
        <f t="shared" si="34"/>
        <v>0.7421708321518482</v>
      </c>
      <c r="BH44" s="10">
        <f t="shared" si="34"/>
        <v>0.6747007565016802</v>
      </c>
      <c r="BI44" s="10">
        <f t="shared" si="34"/>
        <v>0.6133643240924365</v>
      </c>
      <c r="BJ44" s="10">
        <f t="shared" si="34"/>
        <v>0.557603930993124</v>
      </c>
      <c r="BK44" s="10">
        <f t="shared" si="34"/>
        <v>0.5069126645392036</v>
      </c>
      <c r="BL44" s="10">
        <f t="shared" si="34"/>
        <v>0.4608296950356396</v>
      </c>
      <c r="BM44" s="10">
        <f t="shared" si="34"/>
        <v>0.41893608639603597</v>
      </c>
      <c r="BN44" s="10">
        <f t="shared" si="34"/>
        <v>0.38085098763275993</v>
      </c>
      <c r="BU44" s="33"/>
      <c r="BV44" s="33"/>
      <c r="BX44" s="39"/>
      <c r="CL44" s="44"/>
      <c r="DU44" s="18"/>
      <c r="DX44" s="46"/>
      <c r="DY44" s="18"/>
      <c r="DZ44" s="18"/>
      <c r="EA44" s="18"/>
      <c r="EB44" s="18"/>
      <c r="EC44" s="18"/>
      <c r="ED44" s="18"/>
      <c r="EE44" s="18"/>
      <c r="EF44" s="18"/>
      <c r="EG44" s="18"/>
      <c r="EH44" s="18"/>
      <c r="EI44" s="18"/>
      <c r="EJ44" s="18"/>
      <c r="EN44" s="25">
        <f>INT(EN43)</f>
        <v>-4</v>
      </c>
      <c r="EW44" s="25"/>
      <c r="FA44" s="146">
        <f>INT(FA43)</f>
        <v>-1</v>
      </c>
      <c r="GP44" s="25">
        <f>INT(GP43)</f>
        <v>-4</v>
      </c>
      <c r="GR44" s="25">
        <f>INT(GR43)</f>
        <v>3</v>
      </c>
      <c r="GT44" s="25">
        <f>INT(GT43)</f>
        <v>0</v>
      </c>
      <c r="GV44" s="25">
        <f>INT(GV43)</f>
        <v>-4</v>
      </c>
      <c r="GX44" s="25">
        <f>INT(GX43)</f>
        <v>0</v>
      </c>
    </row>
    <row r="45" spans="6:218" ht="15.75" customHeight="1">
      <c r="F45" s="51">
        <f>IF(BY129=0,"",BY129)</f>
      </c>
      <c r="H45" s="112" t="s">
        <v>1539</v>
      </c>
      <c r="I45" s="5" t="str">
        <f t="shared" si="26"/>
        <v>Nickel, Unalloyed, &lt; 500 N/mm2</v>
      </c>
      <c r="J45" s="87" t="s">
        <v>1054</v>
      </c>
      <c r="K45" s="5" t="s">
        <v>701</v>
      </c>
      <c r="L45" s="5" t="s">
        <v>1169</v>
      </c>
      <c r="M45" s="5" t="s">
        <v>990</v>
      </c>
      <c r="N45" s="5" t="s">
        <v>777</v>
      </c>
      <c r="O45" t="s">
        <v>1758</v>
      </c>
      <c r="P45" s="34" t="s">
        <v>339</v>
      </c>
      <c r="Q45" s="5" t="s">
        <v>1258</v>
      </c>
      <c r="R45" s="5" t="s">
        <v>1820</v>
      </c>
      <c r="S45" s="5" t="s">
        <v>1411</v>
      </c>
      <c r="T45" s="34" t="s">
        <v>1705</v>
      </c>
      <c r="U45" s="5" t="s">
        <v>251</v>
      </c>
      <c r="V45" s="5" t="s">
        <v>1322</v>
      </c>
      <c r="W45" s="34" t="s">
        <v>649</v>
      </c>
      <c r="X45" s="34" t="s">
        <v>40</v>
      </c>
      <c r="Y45" s="5" t="s">
        <v>727</v>
      </c>
      <c r="Z45" s="98" t="s">
        <v>1617</v>
      </c>
      <c r="AA45" s="112" t="s">
        <v>1572</v>
      </c>
      <c r="AB45" s="101" t="s">
        <v>342</v>
      </c>
      <c r="AC45" s="119" t="s">
        <v>35</v>
      </c>
      <c r="AD45" s="107" t="s">
        <v>303</v>
      </c>
      <c r="AF45" s="4">
        <v>44</v>
      </c>
      <c r="AG45" s="4">
        <v>5</v>
      </c>
      <c r="AJ45" t="s">
        <v>1940</v>
      </c>
      <c r="AK45">
        <v>3</v>
      </c>
      <c r="AL45">
        <v>2.3</v>
      </c>
      <c r="AM45">
        <v>3</v>
      </c>
      <c r="AO45">
        <v>7.8</v>
      </c>
      <c r="AP45">
        <v>39</v>
      </c>
      <c r="AQ45">
        <v>2.9</v>
      </c>
      <c r="AS45" s="38">
        <f t="shared" si="28"/>
        <v>44</v>
      </c>
      <c r="AT45" s="25" t="b">
        <f t="shared" si="29"/>
        <v>0</v>
      </c>
      <c r="AU45" s="25" t="b">
        <f t="shared" si="30"/>
        <v>0</v>
      </c>
      <c r="AV45" s="25" t="b">
        <f t="shared" si="4"/>
        <v>0</v>
      </c>
      <c r="AW45" s="25" t="b">
        <f t="shared" si="5"/>
        <v>0</v>
      </c>
      <c r="BC45" s="17">
        <f t="shared" si="35"/>
        <v>900</v>
      </c>
      <c r="BD45" s="7">
        <f t="shared" si="36"/>
        <v>2.754018746983727</v>
      </c>
      <c r="BE45" s="10">
        <f t="shared" si="34"/>
        <v>0.816387915367033</v>
      </c>
      <c r="BF45" s="10">
        <f t="shared" si="34"/>
        <v>0.7421708321518482</v>
      </c>
      <c r="BG45" s="10">
        <f t="shared" si="34"/>
        <v>0.6747007565016802</v>
      </c>
      <c r="BH45" s="10">
        <f t="shared" si="34"/>
        <v>0.6133643240924365</v>
      </c>
      <c r="BI45" s="10">
        <f t="shared" si="34"/>
        <v>0.557603930993124</v>
      </c>
      <c r="BJ45" s="10">
        <f t="shared" si="34"/>
        <v>0.5069126645392036</v>
      </c>
      <c r="BK45" s="10">
        <f t="shared" si="34"/>
        <v>0.4608296950356396</v>
      </c>
      <c r="BL45" s="10">
        <f t="shared" si="34"/>
        <v>0.41893608639603597</v>
      </c>
      <c r="BM45" s="10">
        <f t="shared" si="34"/>
        <v>0.38085098763275993</v>
      </c>
      <c r="BN45" s="10">
        <f t="shared" si="34"/>
        <v>0.34622817057523625</v>
      </c>
      <c r="BU45" s="33"/>
      <c r="BV45" s="33"/>
      <c r="BX45" s="39">
        <v>14</v>
      </c>
      <c r="BY45" s="45">
        <f>LOOKUP(BV$54,BZ$5:DJ$5,BZ45:DJ45)</f>
        <v>0</v>
      </c>
      <c r="BZ45" s="45"/>
      <c r="CC45" s="44" t="str">
        <f>CA27</f>
        <v>G00 Z34.25</v>
      </c>
      <c r="CD45" s="44" t="str">
        <f>CONCATENATE(BX45,DL85,DM85)</f>
        <v>14 CC IX+0 IY+2</v>
      </c>
      <c r="CE45" s="44" t="str">
        <f>CONCATENATE(EL45,EM45,EN45,EO45)</f>
        <v>G00 Z-3.75</v>
      </c>
      <c r="CF45" s="44" t="str">
        <f>CONCATENATE(BX45,EL112,EM112)</f>
        <v>14 CC IX+0 IY+1.838</v>
      </c>
      <c r="CG45" s="44" t="str">
        <f>CONCATENATE(EY45,EZ45,FA45,FB45)</f>
        <v>G00 Z-1.</v>
      </c>
      <c r="CH45" s="44" t="str">
        <f>CONCATENATE(BX45,DL103,DM103,DN103,DO103,DP103)</f>
        <v>14 L IX-2 IY-2 R0</v>
      </c>
      <c r="CI45" s="44" t="str">
        <f>CC36</f>
        <v>G03 X0. Y0. Z3. I-4. J0.</v>
      </c>
      <c r="CJ45" s="44" t="str">
        <f>CONCATENATE(BX45,DY103,DZ103,EA103,EB103,EC103)</f>
        <v>14 L IX-1.733 IY-1.733 R0</v>
      </c>
      <c r="CK45" s="4" t="str">
        <f>CE36</f>
        <v>G03 X0. Y0. Z3. I-3.676 J0.</v>
      </c>
      <c r="CL45" s="44" t="str">
        <f>CONCATENATE(BX45,EL103,EM103,EN103,EO103,EP103)</f>
        <v>14 L IX-1.595 IY-1.595 R0</v>
      </c>
      <c r="CN45" s="44" t="str">
        <f>CONCATENATE(BX45,DL97,DM97,DN97)</f>
        <v>14 CC IX-2 IY+0</v>
      </c>
      <c r="CO45" s="44" t="str">
        <f>CC30</f>
        <v>G01 G41 X2. Y-2. F156</v>
      </c>
      <c r="CP45" s="44" t="str">
        <f>CONCATENATE(BX45,DY97,DZ97,EA97)</f>
        <v>14 CC IX-1.733 IY+0</v>
      </c>
      <c r="CQ45" s="44" t="str">
        <f>CE30</f>
        <v>G01 G41 X1.838 Y-1.838 F147</v>
      </c>
      <c r="CR45" s="152" t="str">
        <f>CONCATENATE(BX45,EL97,EM97,EN97)</f>
        <v>14 CC IX-1.595 IY+0</v>
      </c>
      <c r="CT45" s="152" t="str">
        <f>CONCATENATE(BX45,DL88,FT27,DN88)</f>
        <v>14 CP IPA+90 IZ+0.75 DR+</v>
      </c>
      <c r="CU45" s="44" t="str">
        <f>CS18</f>
        <v>G03 X-4. Y4.023 Z0.75 I-4. J0.023</v>
      </c>
      <c r="CV45" s="152" t="str">
        <f>CT45</f>
        <v>14 CP IPA+90 IZ+0.75 DR+</v>
      </c>
      <c r="CW45" s="44" t="str">
        <f>CONCATENATE(GN45,GO45,GP45,GQ45,GR45,GS45,GT45,GU45,GV45,GW45,GX45,GY45)</f>
        <v>G03 X-3.676 Y3.699 Z0.75 I-3.676 J0.023</v>
      </c>
      <c r="CX45" s="152" t="str">
        <f>CV45</f>
        <v>14 CP IPA+90 IZ+0.75 DR+</v>
      </c>
      <c r="CZ45" s="44" t="str">
        <f>CY27</f>
        <v>G01 G40 X-2. C-2.</v>
      </c>
      <c r="DA45" s="44" t="str">
        <f>CONCATENATE(EL42,EM42,EN42,EO42,HE33,EQ42,ER42)</f>
        <v>G01 G40 X-1.838 C-1.838</v>
      </c>
      <c r="DB45" s="44" t="str">
        <f>CG42</f>
        <v>END1</v>
      </c>
      <c r="DC45" s="44" t="str">
        <f>CZ36</f>
        <v>G03 X2. C2. Z0.375 I0. J2.</v>
      </c>
      <c r="DD45" s="44" t="str">
        <f>DA36</f>
        <v>G03 X1.838 C1.838 Z0.375 I0. J1.838</v>
      </c>
      <c r="DE45" s="44" t="str">
        <f>CY30</f>
        <v>G13.1</v>
      </c>
      <c r="DF45" s="44" t="str">
        <f>CO42</f>
        <v>G00 Z-36.75</v>
      </c>
      <c r="DG45" s="44" t="str">
        <f>DF45</f>
        <v>G00 Z-36.75</v>
      </c>
      <c r="DI45" s="44" t="str">
        <f>DH18</f>
        <v>G03 X2. C2. Z0.375 I0. J2.</v>
      </c>
      <c r="DJ45" s="44" t="str">
        <f>DA36</f>
        <v>G03 X1.838 C1.838 Z0.375 I0. J1.838</v>
      </c>
      <c r="DU45" s="18"/>
      <c r="DX45" s="46"/>
      <c r="DY45" s="18"/>
      <c r="DZ45" s="18"/>
      <c r="EA45" s="18"/>
      <c r="EB45" s="18"/>
      <c r="EC45" s="18"/>
      <c r="ED45" s="18"/>
      <c r="EE45" s="18"/>
      <c r="EF45" s="18"/>
      <c r="EG45" s="18"/>
      <c r="EH45" s="18"/>
      <c r="EI45" s="18"/>
      <c r="EJ45" s="18"/>
      <c r="EK45" s="49">
        <v>14</v>
      </c>
      <c r="EL45" s="18" t="s">
        <v>579</v>
      </c>
      <c r="EM45" s="18" t="s">
        <v>581</v>
      </c>
      <c r="EN45" s="18" t="str">
        <f>SUBSTITUTE(EN43,",",".")</f>
        <v>-3.75</v>
      </c>
      <c r="EO45" s="18">
        <f>IF(EN43=EN44,".","")</f>
      </c>
      <c r="EP45" s="18"/>
      <c r="EQ45" s="18"/>
      <c r="ER45" s="18"/>
      <c r="ES45" s="18"/>
      <c r="ET45" s="18"/>
      <c r="EU45" s="18"/>
      <c r="EV45" s="18"/>
      <c r="EW45" s="25"/>
      <c r="EX45" s="49">
        <v>14</v>
      </c>
      <c r="EY45" s="147" t="s">
        <v>579</v>
      </c>
      <c r="EZ45" s="147" t="s">
        <v>581</v>
      </c>
      <c r="FA45" s="147" t="str">
        <f>SUBSTITUTE(FA43,",",".")</f>
        <v>-1</v>
      </c>
      <c r="FB45" s="147" t="str">
        <f>IF(FA43=FA44,".","")</f>
        <v>.</v>
      </c>
      <c r="GM45" s="49">
        <v>14</v>
      </c>
      <c r="GN45" s="33" t="s">
        <v>585</v>
      </c>
      <c r="GO45" s="33" t="s">
        <v>584</v>
      </c>
      <c r="GP45" s="18" t="str">
        <f>SUBSTITUTE(GP43,",",".")</f>
        <v>-3.676</v>
      </c>
      <c r="GQ45" s="18" t="str">
        <f>IF(GP43=GP44,". Y"," Y")</f>
        <v> Y</v>
      </c>
      <c r="GR45" s="18" t="str">
        <f>SUBSTITUTE(GR43,",",".")</f>
        <v>3.699</v>
      </c>
      <c r="GS45" s="18" t="str">
        <f>IF(GR43=GR44,". Z"," Z")</f>
        <v> Z</v>
      </c>
      <c r="GT45" s="18" t="str">
        <f>SUBSTITUTE(GT43,",",".")</f>
        <v>0.75</v>
      </c>
      <c r="GU45" s="18" t="str">
        <f>IF(GT43=GT44,". I"," I")</f>
        <v> I</v>
      </c>
      <c r="GV45" s="18" t="str">
        <f>SUBSTITUTE(GV43,",",".")</f>
        <v>-3.676</v>
      </c>
      <c r="GW45" s="18" t="str">
        <f>IF(GV43=GV44,". J"," J")</f>
        <v> J</v>
      </c>
      <c r="GX45" s="18" t="str">
        <f>SUBSTITUTE(GX43,",",".")</f>
        <v>0.023</v>
      </c>
      <c r="GY45" s="18">
        <f>IF(GX43=GX44,".","")</f>
      </c>
      <c r="HJ45" s="49"/>
    </row>
    <row r="46" spans="6:206" ht="15.75" customHeight="1">
      <c r="F46" s="51">
        <f>IF(BY132=0,"",BY132)</f>
      </c>
      <c r="H46" t="s">
        <v>564</v>
      </c>
      <c r="I46" s="5" t="str">
        <f t="shared" si="26"/>
        <v>Nickel, Alloyed, &lt; 900 N/mm2</v>
      </c>
      <c r="J46" s="87" t="s">
        <v>1055</v>
      </c>
      <c r="K46" s="5" t="s">
        <v>844</v>
      </c>
      <c r="L46" s="5" t="s">
        <v>1170</v>
      </c>
      <c r="M46" s="5" t="s">
        <v>1037</v>
      </c>
      <c r="N46" s="5" t="s">
        <v>778</v>
      </c>
      <c r="O46" t="s">
        <v>1759</v>
      </c>
      <c r="P46" s="34" t="s">
        <v>340</v>
      </c>
      <c r="Q46" s="5" t="s">
        <v>1259</v>
      </c>
      <c r="R46" s="5" t="s">
        <v>1821</v>
      </c>
      <c r="S46" s="5" t="s">
        <v>1412</v>
      </c>
      <c r="T46" s="34" t="s">
        <v>1706</v>
      </c>
      <c r="U46" s="5" t="s">
        <v>252</v>
      </c>
      <c r="V46" s="5" t="s">
        <v>1323</v>
      </c>
      <c r="W46" s="34" t="s">
        <v>650</v>
      </c>
      <c r="X46" s="34" t="s">
        <v>41</v>
      </c>
      <c r="Y46" s="5" t="s">
        <v>838</v>
      </c>
      <c r="Z46" s="98" t="s">
        <v>1618</v>
      </c>
      <c r="AA46" s="112" t="s">
        <v>1573</v>
      </c>
      <c r="AB46" s="101" t="s">
        <v>343</v>
      </c>
      <c r="AC46" s="119" t="s">
        <v>36</v>
      </c>
      <c r="AD46" s="107" t="s">
        <v>304</v>
      </c>
      <c r="AF46" s="4">
        <v>45</v>
      </c>
      <c r="AG46" s="4">
        <v>5</v>
      </c>
      <c r="AJ46" t="s">
        <v>1941</v>
      </c>
      <c r="AK46">
        <v>3</v>
      </c>
      <c r="AL46">
        <v>2.3</v>
      </c>
      <c r="AM46">
        <v>3</v>
      </c>
      <c r="AO46">
        <v>5.4</v>
      </c>
      <c r="AP46">
        <v>39</v>
      </c>
      <c r="AQ46">
        <v>2.9</v>
      </c>
      <c r="AS46" s="38">
        <f t="shared" si="28"/>
        <v>45</v>
      </c>
      <c r="AT46" s="25" t="b">
        <f t="shared" si="29"/>
        <v>0</v>
      </c>
      <c r="AU46" s="25" t="b">
        <f t="shared" si="30"/>
        <v>0</v>
      </c>
      <c r="AV46" s="25" t="b">
        <f t="shared" si="4"/>
        <v>0</v>
      </c>
      <c r="AW46" s="25" t="b">
        <f t="shared" si="5"/>
        <v>0</v>
      </c>
      <c r="BC46" s="17">
        <f t="shared" si="35"/>
        <v>1000</v>
      </c>
      <c r="BD46" s="7">
        <f t="shared" si="36"/>
        <v>3.1258112778265303</v>
      </c>
      <c r="BE46" s="10">
        <f t="shared" si="34"/>
        <v>0.7421708321518482</v>
      </c>
      <c r="BF46" s="10">
        <f t="shared" si="34"/>
        <v>0.6747007565016802</v>
      </c>
      <c r="BG46" s="10">
        <f t="shared" si="34"/>
        <v>0.6133643240924365</v>
      </c>
      <c r="BH46" s="10">
        <f t="shared" si="34"/>
        <v>0.557603930993124</v>
      </c>
      <c r="BI46" s="10">
        <f t="shared" si="34"/>
        <v>0.5069126645392036</v>
      </c>
      <c r="BJ46" s="10">
        <f t="shared" si="34"/>
        <v>0.4608296950356396</v>
      </c>
      <c r="BK46" s="10">
        <f t="shared" si="34"/>
        <v>0.41893608639603597</v>
      </c>
      <c r="BL46" s="10">
        <f t="shared" si="34"/>
        <v>0.38085098763275993</v>
      </c>
      <c r="BM46" s="10">
        <f t="shared" si="34"/>
        <v>0.34622817057523625</v>
      </c>
      <c r="BN46" s="10">
        <f t="shared" si="34"/>
        <v>0.31475288234112386</v>
      </c>
      <c r="BU46" s="33"/>
      <c r="BV46" s="33"/>
      <c r="BX46" s="39"/>
      <c r="CL46" s="44"/>
      <c r="DU46" s="18"/>
      <c r="DX46" s="46"/>
      <c r="DY46" s="18"/>
      <c r="DZ46" s="18"/>
      <c r="EA46" s="18"/>
      <c r="EB46" s="18"/>
      <c r="EC46" s="18"/>
      <c r="ED46" s="18"/>
      <c r="EE46" s="18"/>
      <c r="EF46" s="18"/>
      <c r="EG46" s="18"/>
      <c r="EH46" s="18"/>
      <c r="EI46" s="18"/>
      <c r="EJ46" s="18"/>
      <c r="EK46" s="49"/>
      <c r="EL46" s="18"/>
      <c r="EM46" s="18"/>
      <c r="EN46" s="18"/>
      <c r="EO46" s="18"/>
      <c r="EP46" s="18"/>
      <c r="EQ46" s="18"/>
      <c r="ER46" s="18"/>
      <c r="ES46" s="18"/>
      <c r="ET46" s="18"/>
      <c r="EU46" s="18"/>
      <c r="EV46" s="18"/>
      <c r="EW46" s="18"/>
      <c r="EX46" s="49"/>
      <c r="GP46" s="33">
        <f>-(GR43+GX43)</f>
        <v>-3.722</v>
      </c>
      <c r="GR46" s="33">
        <f>-GR43</f>
        <v>-3.699</v>
      </c>
      <c r="GT46" s="33">
        <f>GT43</f>
        <v>0.75</v>
      </c>
      <c r="GV46" s="33">
        <f>-GX43</f>
        <v>-0.023</v>
      </c>
      <c r="GX46" s="33">
        <f>GR46</f>
        <v>-3.699</v>
      </c>
    </row>
    <row r="47" spans="6:206" ht="15.75" customHeight="1">
      <c r="F47" s="51">
        <f>IF(BY135=0,"",BY135)</f>
      </c>
      <c r="H47" s="128" t="s">
        <v>165</v>
      </c>
      <c r="I47" s="5" t="str">
        <f t="shared" si="26"/>
        <v>Nickel, Alloyed, &lt; 1250 N/mm2</v>
      </c>
      <c r="J47" s="87" t="s">
        <v>1302</v>
      </c>
      <c r="K47" s="5" t="s">
        <v>593</v>
      </c>
      <c r="L47" s="5" t="s">
        <v>1112</v>
      </c>
      <c r="M47" s="5" t="s">
        <v>731</v>
      </c>
      <c r="N47" s="5" t="s">
        <v>749</v>
      </c>
      <c r="O47" t="s">
        <v>1760</v>
      </c>
      <c r="P47" s="34" t="s">
        <v>348</v>
      </c>
      <c r="Q47" s="5" t="s">
        <v>1260</v>
      </c>
      <c r="R47" s="5" t="s">
        <v>1822</v>
      </c>
      <c r="S47" s="5" t="s">
        <v>1413</v>
      </c>
      <c r="T47" s="34" t="s">
        <v>1707</v>
      </c>
      <c r="U47" s="5" t="s">
        <v>253</v>
      </c>
      <c r="V47" s="5" t="s">
        <v>1364</v>
      </c>
      <c r="W47" s="34" t="s">
        <v>630</v>
      </c>
      <c r="X47" s="34" t="s">
        <v>42</v>
      </c>
      <c r="Y47" s="5" t="s">
        <v>1007</v>
      </c>
      <c r="Z47" s="98" t="s">
        <v>1619</v>
      </c>
      <c r="AA47" s="112" t="s">
        <v>1666</v>
      </c>
      <c r="AB47" s="101" t="s">
        <v>344</v>
      </c>
      <c r="AC47" s="119" t="s">
        <v>37</v>
      </c>
      <c r="AD47" s="107" t="s">
        <v>305</v>
      </c>
      <c r="AF47" s="4">
        <v>46</v>
      </c>
      <c r="AG47" s="4">
        <v>5</v>
      </c>
      <c r="AJ47" t="s">
        <v>1942</v>
      </c>
      <c r="AK47">
        <v>3</v>
      </c>
      <c r="AL47">
        <v>2.1</v>
      </c>
      <c r="AM47">
        <v>3</v>
      </c>
      <c r="AO47">
        <v>7.1</v>
      </c>
      <c r="AP47">
        <v>39</v>
      </c>
      <c r="AQ47">
        <v>2.4</v>
      </c>
      <c r="AS47" s="38">
        <f t="shared" si="28"/>
        <v>46</v>
      </c>
      <c r="AT47" s="25" t="b">
        <f t="shared" si="29"/>
        <v>0</v>
      </c>
      <c r="AU47" s="25" t="b">
        <f t="shared" si="30"/>
        <v>0</v>
      </c>
      <c r="AV47" s="25" t="b">
        <f t="shared" si="4"/>
        <v>0</v>
      </c>
      <c r="AW47" s="25" t="b">
        <f t="shared" si="5"/>
        <v>0</v>
      </c>
      <c r="BC47" s="17">
        <f t="shared" si="35"/>
        <v>1100</v>
      </c>
      <c r="BD47" s="7">
        <f t="shared" si="36"/>
        <v>3.547795800333112</v>
      </c>
      <c r="BE47" s="10">
        <f t="shared" si="34"/>
        <v>0.6747007565016802</v>
      </c>
      <c r="BF47" s="10">
        <f t="shared" si="34"/>
        <v>0.6133643240924365</v>
      </c>
      <c r="BG47" s="10">
        <f t="shared" si="34"/>
        <v>0.557603930993124</v>
      </c>
      <c r="BH47" s="10">
        <f t="shared" si="34"/>
        <v>0.5069126645392036</v>
      </c>
      <c r="BI47" s="10">
        <f t="shared" si="34"/>
        <v>0.4608296950356396</v>
      </c>
      <c r="BJ47" s="10">
        <f t="shared" si="34"/>
        <v>0.41893608639603597</v>
      </c>
      <c r="BK47" s="10">
        <f t="shared" si="34"/>
        <v>0.38085098763275993</v>
      </c>
      <c r="BL47" s="10">
        <f t="shared" si="34"/>
        <v>0.34622817057523625</v>
      </c>
      <c r="BM47" s="10">
        <f t="shared" si="34"/>
        <v>0.31475288234112386</v>
      </c>
      <c r="BN47" s="10">
        <f t="shared" si="34"/>
        <v>0.2861389839464762</v>
      </c>
      <c r="BQ47" s="7"/>
      <c r="BR47" s="25">
        <f>C16/BN6-0.001</f>
        <v>11.999</v>
      </c>
      <c r="BU47" s="33"/>
      <c r="BV47" s="33"/>
      <c r="BX47" s="39"/>
      <c r="CL47" s="44"/>
      <c r="DU47" s="18"/>
      <c r="DY47" s="18"/>
      <c r="DZ47" s="18"/>
      <c r="EA47" s="18"/>
      <c r="EB47" s="18"/>
      <c r="EC47" s="18"/>
      <c r="ED47" s="18"/>
      <c r="EE47" s="18"/>
      <c r="EF47" s="18"/>
      <c r="EG47" s="18"/>
      <c r="EH47" s="18"/>
      <c r="EI47" s="18"/>
      <c r="EJ47" s="18"/>
      <c r="EL47" s="18"/>
      <c r="EM47" s="18"/>
      <c r="EN47" s="18"/>
      <c r="EO47" s="18"/>
      <c r="EP47" s="18"/>
      <c r="EQ47" s="18"/>
      <c r="ER47" s="18"/>
      <c r="ES47" s="18"/>
      <c r="ET47" s="18"/>
      <c r="EU47" s="18"/>
      <c r="EV47" s="18"/>
      <c r="EW47" s="18"/>
      <c r="GP47" s="25">
        <f>INT(GP46)</f>
        <v>-4</v>
      </c>
      <c r="GR47" s="25">
        <f>INT(GR46)</f>
        <v>-4</v>
      </c>
      <c r="GT47" s="25">
        <f>INT(GT46)</f>
        <v>0</v>
      </c>
      <c r="GV47" s="25">
        <f>INT(GV46)</f>
        <v>-1</v>
      </c>
      <c r="GX47" s="25">
        <f>INT(GX46)</f>
        <v>-4</v>
      </c>
    </row>
    <row r="48" spans="6:219" ht="15.75" customHeight="1">
      <c r="F48" s="51">
        <f>IF(BY138=0,"",BY138)</f>
      </c>
      <c r="H48" t="s">
        <v>1658</v>
      </c>
      <c r="I48" s="5" t="str">
        <f t="shared" si="26"/>
        <v>Copper, Unalloyed, &lt; 350 N/mm2</v>
      </c>
      <c r="J48" s="87" t="s">
        <v>1225</v>
      </c>
      <c r="K48" s="5" t="s">
        <v>789</v>
      </c>
      <c r="L48" s="5" t="s">
        <v>1113</v>
      </c>
      <c r="M48" s="5" t="s">
        <v>732</v>
      </c>
      <c r="N48" s="5" t="s">
        <v>902</v>
      </c>
      <c r="O48" t="s">
        <v>1761</v>
      </c>
      <c r="P48" s="34" t="s">
        <v>451</v>
      </c>
      <c r="Q48" s="5" t="s">
        <v>1326</v>
      </c>
      <c r="R48" s="5" t="s">
        <v>1823</v>
      </c>
      <c r="S48" s="5" t="s">
        <v>1414</v>
      </c>
      <c r="T48" s="34" t="s">
        <v>1708</v>
      </c>
      <c r="U48" s="5" t="s">
        <v>254</v>
      </c>
      <c r="V48" s="5" t="s">
        <v>1365</v>
      </c>
      <c r="W48" s="34" t="s">
        <v>631</v>
      </c>
      <c r="X48" s="34" t="s">
        <v>43</v>
      </c>
      <c r="Y48" s="5" t="s">
        <v>758</v>
      </c>
      <c r="Z48" s="98" t="s">
        <v>1620</v>
      </c>
      <c r="AA48" s="112" t="s">
        <v>1654</v>
      </c>
      <c r="AB48" s="101" t="s">
        <v>399</v>
      </c>
      <c r="AC48" s="119" t="s">
        <v>77</v>
      </c>
      <c r="AD48" s="107" t="s">
        <v>306</v>
      </c>
      <c r="AF48" s="4">
        <v>47</v>
      </c>
      <c r="AG48" s="4">
        <v>5</v>
      </c>
      <c r="AJ48" t="s">
        <v>1943</v>
      </c>
      <c r="AK48">
        <v>3</v>
      </c>
      <c r="AL48">
        <v>2.1</v>
      </c>
      <c r="AM48">
        <v>3</v>
      </c>
      <c r="AO48">
        <v>4.9</v>
      </c>
      <c r="AP48">
        <v>39</v>
      </c>
      <c r="AQ48">
        <v>2.4</v>
      </c>
      <c r="AS48" s="38">
        <f t="shared" si="28"/>
        <v>47</v>
      </c>
      <c r="AT48" s="25" t="b">
        <f t="shared" si="29"/>
        <v>0</v>
      </c>
      <c r="AU48" s="25" t="b">
        <f t="shared" si="30"/>
        <v>0</v>
      </c>
      <c r="AV48" s="25" t="b">
        <f t="shared" si="4"/>
        <v>0</v>
      </c>
      <c r="AW48" s="25" t="b">
        <f t="shared" si="5"/>
        <v>0</v>
      </c>
      <c r="BC48" s="17">
        <f t="shared" si="35"/>
        <v>1200</v>
      </c>
      <c r="BD48" s="7">
        <f t="shared" si="36"/>
        <v>4.026748233378083</v>
      </c>
      <c r="BE48" s="10">
        <f t="shared" si="34"/>
        <v>0.6133643240924365</v>
      </c>
      <c r="BF48" s="10">
        <f t="shared" si="34"/>
        <v>0.557603930993124</v>
      </c>
      <c r="BG48" s="10">
        <f t="shared" si="34"/>
        <v>0.5069126645392036</v>
      </c>
      <c r="BH48" s="10">
        <f t="shared" si="34"/>
        <v>0.4608296950356396</v>
      </c>
      <c r="BI48" s="10">
        <f t="shared" si="34"/>
        <v>0.41893608639603597</v>
      </c>
      <c r="BJ48" s="10">
        <f t="shared" si="34"/>
        <v>0.38085098763275993</v>
      </c>
      <c r="BK48" s="10">
        <f t="shared" si="34"/>
        <v>0.34622817057523625</v>
      </c>
      <c r="BL48" s="10">
        <f t="shared" si="34"/>
        <v>0.31475288234112386</v>
      </c>
      <c r="BM48" s="10">
        <f t="shared" si="34"/>
        <v>0.2861389839464762</v>
      </c>
      <c r="BN48" s="10">
        <f t="shared" si="34"/>
        <v>0.26012634904225107</v>
      </c>
      <c r="BQ48" s="7" t="s">
        <v>574</v>
      </c>
      <c r="BR48" s="50">
        <f>INT(BR47)+1</f>
        <v>12</v>
      </c>
      <c r="BU48" s="33"/>
      <c r="BV48" s="33"/>
      <c r="BX48" s="39">
        <v>15</v>
      </c>
      <c r="BY48" s="45">
        <f>LOOKUP(BV$54,BZ$5:DJ$5,BZ48:DJ48)</f>
        <v>0</v>
      </c>
      <c r="BZ48" s="45"/>
      <c r="CD48" s="44" t="str">
        <f>CONCATENATE(BX48,DL88,DM88,DN88)</f>
        <v>15 CP IPA+90 IZ+0.375 DR+</v>
      </c>
      <c r="CE48" s="44" t="str">
        <f>CA12</f>
        <v>G01 G41 X2. Y-2. F156</v>
      </c>
      <c r="CF48" s="44" t="str">
        <f>CD48</f>
        <v>15 CP IPA+90 IZ+0.375 DR+</v>
      </c>
      <c r="CH48" s="44" t="str">
        <f>CONCATENATE(BX48,DL106,EZ115,DN106)</f>
        <v>15 L IZ+35.25 FMAX</v>
      </c>
      <c r="CI48" s="44" t="str">
        <f>CC39</f>
        <v>G03 X-2. Y2. Z0.375 I-2. J0.</v>
      </c>
      <c r="CJ48" s="44" t="str">
        <f>CONCATENATE(BX48,DY106,DZ106,EA106)</f>
        <v>15 L IZ-3.75 FMAX</v>
      </c>
      <c r="CK48" s="4" t="str">
        <f>CE39</f>
        <v>G03 X-1.838 Y1.838 Z0.375 I-1.838 J0.</v>
      </c>
      <c r="CL48" s="44" t="str">
        <f>CONCATENATE(BX48,EL106,EM106,EN106)</f>
        <v>15 L IZ-3.75 FMAX</v>
      </c>
      <c r="CN48" s="44" t="str">
        <f>CONCATENATE(BX48,DL100,DM100,DN100)</f>
        <v>15 CP IPA+90 IZ+0.375 DR+</v>
      </c>
      <c r="CO48" s="44" t="str">
        <f>CC33</f>
        <v>G03 X2. Y2. Z0.375 I0. J2.</v>
      </c>
      <c r="CP48" s="44" t="str">
        <f>CN48</f>
        <v>15 CP IPA+90 IZ+0.375 DR+</v>
      </c>
      <c r="CQ48" s="44" t="str">
        <f>CE33</f>
        <v>G03 X1.838 Y1.838 Z0.375 I0. J1.838</v>
      </c>
      <c r="CR48" s="152" t="str">
        <f>CN48</f>
        <v>15 CP IPA+90 IZ+0.375 DR+</v>
      </c>
      <c r="CT48" s="152" t="str">
        <f>CONCATENATE(BX48,DL97,DM97,DN97)</f>
        <v>15 CC IX-2 IY+0</v>
      </c>
      <c r="CU48" s="44" t="str">
        <f>CS21</f>
        <v>G03 X-4.046 Y-4.023 Z0.75 I-0.023 J-4.023</v>
      </c>
      <c r="CV48" s="152" t="str">
        <f>CONCATENATE(BX48,DY97,DZ97,EA97)</f>
        <v>15 CC IX-1.733 IY+0</v>
      </c>
      <c r="CW48" s="44" t="str">
        <f>CONCATENATE(GN48,GO48,GP48,GQ48,GR48,GS48,GT48,GU48,GV48,GW48,GX48,GY48)</f>
        <v>G03 X-3.722 Y-3.699 Z0.75 I-0.023 J-3.699</v>
      </c>
      <c r="CX48" s="152" t="str">
        <f>CONCATENATE(BX48,EL97,EM97,EN97)</f>
        <v>15 CC IX-1.595 IY+0</v>
      </c>
      <c r="CZ48" s="44" t="str">
        <f>CY30</f>
        <v>G13.1</v>
      </c>
      <c r="DA48" s="44" t="str">
        <f>CC27</f>
        <v>G00 Z-3.75</v>
      </c>
      <c r="DB48" s="44" t="str">
        <f>CY30</f>
        <v>G13.1</v>
      </c>
      <c r="DC48" s="44" t="str">
        <f>CZ39</f>
        <v>G03 X0. C0. Z3. I-4. J0.</v>
      </c>
      <c r="DD48" s="44" t="str">
        <f>DA39</f>
        <v>G03 X0. C0. Z3. I-3.676 J0.</v>
      </c>
      <c r="DE48" s="44" t="str">
        <f>CM42</f>
        <v>G00 Z1.25</v>
      </c>
      <c r="DF48" s="44" t="str">
        <f>CZ33</f>
        <v>G01 G41 X2. C-2. F156</v>
      </c>
      <c r="DG48" s="44" t="str">
        <f>DA33</f>
        <v>G01 G41 X1.838 C-1.838 F147</v>
      </c>
      <c r="DI48" s="44" t="str">
        <f>DH21</f>
        <v>G03 X-4. C4.023 Z0.75 I-4. J0.023</v>
      </c>
      <c r="DJ48" s="44" t="str">
        <f>CONCATENATE(GN45,GO45,GP45,HK48,GR45,GS45,GT45,GU45,GV45,GW45,GX45,GY45)</f>
        <v>G03 X-3.676 C3.699 Z0.75 I-3.676 J0.023</v>
      </c>
      <c r="DU48" s="18"/>
      <c r="DY48" s="18"/>
      <c r="DZ48" s="18"/>
      <c r="EA48" s="18"/>
      <c r="EB48" s="18"/>
      <c r="EC48" s="18"/>
      <c r="ED48" s="18"/>
      <c r="EE48" s="18"/>
      <c r="EF48" s="18"/>
      <c r="EG48" s="18"/>
      <c r="EH48" s="18"/>
      <c r="EI48" s="18"/>
      <c r="EJ48" s="18"/>
      <c r="EL48" s="18"/>
      <c r="EM48" s="18"/>
      <c r="EN48" s="18"/>
      <c r="EO48" s="18"/>
      <c r="EP48" s="18"/>
      <c r="EQ48" s="18"/>
      <c r="ER48" s="18"/>
      <c r="ES48" s="18"/>
      <c r="ET48" s="18"/>
      <c r="EU48" s="18"/>
      <c r="EV48" s="18"/>
      <c r="EW48" s="18"/>
      <c r="GM48" s="49">
        <v>15</v>
      </c>
      <c r="GN48" s="33" t="s">
        <v>585</v>
      </c>
      <c r="GO48" s="33" t="s">
        <v>584</v>
      </c>
      <c r="GP48" s="18" t="str">
        <f>SUBSTITUTE(GP46,",",".")</f>
        <v>-3.722</v>
      </c>
      <c r="GQ48" s="18" t="str">
        <f>IF(GP46=GP47,". Y"," Y")</f>
        <v> Y</v>
      </c>
      <c r="GR48" s="18" t="str">
        <f>SUBSTITUTE(GR46,",",".")</f>
        <v>-3.699</v>
      </c>
      <c r="GS48" s="18" t="str">
        <f>IF(GR46=GR47,". Z"," Z")</f>
        <v> Z</v>
      </c>
      <c r="GT48" s="18" t="str">
        <f>SUBSTITUTE(GT46,",",".")</f>
        <v>0.75</v>
      </c>
      <c r="GU48" s="18" t="str">
        <f>IF(GT46=GT47,". I"," I")</f>
        <v> I</v>
      </c>
      <c r="GV48" s="18" t="str">
        <f>SUBSTITUTE(GV46,",",".")</f>
        <v>-0.023</v>
      </c>
      <c r="GW48" s="18" t="str">
        <f>IF(GV46=GV47,". J"," J")</f>
        <v> J</v>
      </c>
      <c r="GX48" s="18" t="str">
        <f>SUBSTITUTE(GX46,",",".")</f>
        <v>-3.699</v>
      </c>
      <c r="GY48" s="18">
        <f>IF(GX46=GX47,".","")</f>
      </c>
      <c r="HJ48" s="49">
        <v>15</v>
      </c>
      <c r="HK48" s="33" t="str">
        <f>IF(GP43=GP44,". C"," C")</f>
        <v> C</v>
      </c>
    </row>
    <row r="49" spans="6:206" ht="15.75" customHeight="1">
      <c r="F49" s="51">
        <f>IF(BY141=0,"",BY141)</f>
      </c>
      <c r="H49" t="s">
        <v>73</v>
      </c>
      <c r="I49" s="5" t="str">
        <f t="shared" si="26"/>
        <v>Copper, Brass, Bronze, &lt; 700 N/mm2</v>
      </c>
      <c r="J49" s="87" t="s">
        <v>1226</v>
      </c>
      <c r="K49" s="5" t="s">
        <v>808</v>
      </c>
      <c r="L49" s="5" t="s">
        <v>1114</v>
      </c>
      <c r="M49" s="5" t="s">
        <v>739</v>
      </c>
      <c r="N49" s="5" t="s">
        <v>950</v>
      </c>
      <c r="O49" t="s">
        <v>1762</v>
      </c>
      <c r="P49" s="34" t="s">
        <v>452</v>
      </c>
      <c r="Q49" s="5" t="s">
        <v>1327</v>
      </c>
      <c r="R49" s="5" t="s">
        <v>1824</v>
      </c>
      <c r="S49" s="5" t="s">
        <v>1353</v>
      </c>
      <c r="T49" s="34" t="s">
        <v>1709</v>
      </c>
      <c r="U49" s="5" t="s">
        <v>255</v>
      </c>
      <c r="V49" s="5" t="s">
        <v>1366</v>
      </c>
      <c r="W49" s="34" t="s">
        <v>720</v>
      </c>
      <c r="X49" s="34" t="s">
        <v>44</v>
      </c>
      <c r="Y49" s="5" t="s">
        <v>752</v>
      </c>
      <c r="Z49" s="98" t="s">
        <v>1528</v>
      </c>
      <c r="AA49" s="112" t="s">
        <v>1565</v>
      </c>
      <c r="AB49" s="101" t="s">
        <v>401</v>
      </c>
      <c r="AC49" s="119" t="s">
        <v>78</v>
      </c>
      <c r="AD49" s="107" t="s">
        <v>307</v>
      </c>
      <c r="AF49" s="4">
        <v>48</v>
      </c>
      <c r="AG49" s="4">
        <v>5</v>
      </c>
      <c r="AJ49" t="s">
        <v>1944</v>
      </c>
      <c r="AK49">
        <v>3</v>
      </c>
      <c r="AL49">
        <v>1.9</v>
      </c>
      <c r="AM49">
        <v>3</v>
      </c>
      <c r="AO49">
        <v>6.2</v>
      </c>
      <c r="AP49">
        <v>39</v>
      </c>
      <c r="AQ49">
        <v>2.1</v>
      </c>
      <c r="AS49" s="38">
        <f t="shared" si="28"/>
        <v>48</v>
      </c>
      <c r="AT49" s="25" t="b">
        <f t="shared" si="29"/>
        <v>0</v>
      </c>
      <c r="AU49" s="25" t="b">
        <f t="shared" si="30"/>
        <v>0</v>
      </c>
      <c r="AV49" s="25" t="b">
        <f t="shared" si="4"/>
        <v>0</v>
      </c>
      <c r="AW49" s="25" t="b">
        <f t="shared" si="5"/>
        <v>0</v>
      </c>
      <c r="BC49" s="13"/>
      <c r="BD49" s="15"/>
      <c r="BE49" s="10"/>
      <c r="BF49" s="9"/>
      <c r="BG49" s="10"/>
      <c r="BH49" s="10"/>
      <c r="BI49" s="10"/>
      <c r="BJ49" s="10"/>
      <c r="BK49" s="10"/>
      <c r="BL49" s="10"/>
      <c r="BM49" s="10"/>
      <c r="BN49" s="10"/>
      <c r="BU49" s="33"/>
      <c r="BV49" s="33"/>
      <c r="BX49" s="39"/>
      <c r="CL49" s="44"/>
      <c r="DU49" s="18"/>
      <c r="EL49" s="18"/>
      <c r="EM49" s="18"/>
      <c r="EN49" s="18"/>
      <c r="EO49" s="18"/>
      <c r="EP49" s="18"/>
      <c r="EQ49" s="18"/>
      <c r="ER49" s="18"/>
      <c r="ES49" s="18"/>
      <c r="ET49" s="18"/>
      <c r="EU49" s="18"/>
      <c r="EV49" s="18"/>
      <c r="EW49" s="18"/>
      <c r="GP49" s="33">
        <f>-GP46</f>
        <v>3.722</v>
      </c>
      <c r="GR49" s="33">
        <f>GP46+GV46</f>
        <v>-3.745</v>
      </c>
      <c r="GT49" s="33">
        <f>GT43</f>
        <v>0.75</v>
      </c>
      <c r="GV49" s="33">
        <f>GP49</f>
        <v>3.722</v>
      </c>
      <c r="GX49" s="33">
        <f>-GX43</f>
        <v>-0.023</v>
      </c>
    </row>
    <row r="50" spans="6:206" ht="15.75" customHeight="1">
      <c r="F50" s="51">
        <f>IF(BY144=0,"",BY144)</f>
      </c>
      <c r="I50" s="5" t="str">
        <f t="shared" si="26"/>
        <v>Copper, High Strength Bronze, &lt; 1500 N/mm2</v>
      </c>
      <c r="J50" s="87" t="s">
        <v>1227</v>
      </c>
      <c r="K50" s="5" t="s">
        <v>916</v>
      </c>
      <c r="L50" s="5" t="s">
        <v>1115</v>
      </c>
      <c r="M50" s="5" t="s">
        <v>840</v>
      </c>
      <c r="N50" s="5" t="s">
        <v>1021</v>
      </c>
      <c r="O50" t="s">
        <v>1763</v>
      </c>
      <c r="P50" s="34" t="s">
        <v>430</v>
      </c>
      <c r="Q50" s="5" t="s">
        <v>1328</v>
      </c>
      <c r="R50" s="5" t="s">
        <v>1825</v>
      </c>
      <c r="S50" s="5" t="s">
        <v>1354</v>
      </c>
      <c r="T50" s="34" t="s">
        <v>1710</v>
      </c>
      <c r="U50" s="5" t="s">
        <v>276</v>
      </c>
      <c r="V50" s="5" t="s">
        <v>1367</v>
      </c>
      <c r="W50" s="34" t="s">
        <v>721</v>
      </c>
      <c r="X50" s="34" t="s">
        <v>45</v>
      </c>
      <c r="Y50" s="5" t="s">
        <v>751</v>
      </c>
      <c r="Z50" s="98" t="s">
        <v>1435</v>
      </c>
      <c r="AA50" s="112" t="s">
        <v>1566</v>
      </c>
      <c r="AB50" s="101" t="s">
        <v>402</v>
      </c>
      <c r="AC50" s="119" t="s">
        <v>79</v>
      </c>
      <c r="AD50" s="107" t="s">
        <v>308</v>
      </c>
      <c r="AF50" s="4">
        <v>49</v>
      </c>
      <c r="AG50" s="4">
        <v>5</v>
      </c>
      <c r="AJ50" t="s">
        <v>1945</v>
      </c>
      <c r="AK50">
        <v>3</v>
      </c>
      <c r="AL50">
        <v>1.9</v>
      </c>
      <c r="AM50">
        <v>3</v>
      </c>
      <c r="AO50">
        <v>4.3</v>
      </c>
      <c r="AP50">
        <v>39</v>
      </c>
      <c r="AQ50">
        <v>2.1</v>
      </c>
      <c r="AS50" s="38">
        <f t="shared" si="28"/>
        <v>49</v>
      </c>
      <c r="AT50" s="25" t="b">
        <f t="shared" si="29"/>
        <v>0</v>
      </c>
      <c r="AU50" s="25" t="b">
        <f t="shared" si="30"/>
        <v>0</v>
      </c>
      <c r="AV50" s="25" t="b">
        <f t="shared" si="4"/>
        <v>0</v>
      </c>
      <c r="AW50" s="25" t="b">
        <f t="shared" si="5"/>
        <v>0</v>
      </c>
      <c r="BC50" s="13"/>
      <c r="BD50" s="15"/>
      <c r="BE50" s="10"/>
      <c r="BF50" s="9"/>
      <c r="BG50" s="15" t="s">
        <v>675</v>
      </c>
      <c r="BH50" s="15" t="s">
        <v>676</v>
      </c>
      <c r="BI50" s="10"/>
      <c r="BJ50" s="10"/>
      <c r="BK50" s="10"/>
      <c r="BL50" s="10"/>
      <c r="BM50" s="10"/>
      <c r="BN50" s="10"/>
      <c r="BU50" s="33"/>
      <c r="BV50" s="33"/>
      <c r="BX50" s="39"/>
      <c r="CL50" s="44"/>
      <c r="DU50" s="18"/>
      <c r="EL50" s="18"/>
      <c r="EM50" s="18"/>
      <c r="EN50" s="18"/>
      <c r="EO50" s="18"/>
      <c r="EP50" s="18"/>
      <c r="EQ50" s="18"/>
      <c r="ER50" s="18"/>
      <c r="ES50" s="18"/>
      <c r="ET50" s="18"/>
      <c r="EU50" s="18"/>
      <c r="EV50" s="18"/>
      <c r="EW50" s="18"/>
      <c r="GP50" s="25">
        <f>INT(GP49)</f>
        <v>3</v>
      </c>
      <c r="GR50" s="25">
        <f>INT(GR49)</f>
        <v>-4</v>
      </c>
      <c r="GT50" s="25">
        <f>INT(GT49)</f>
        <v>0</v>
      </c>
      <c r="GV50" s="25">
        <f>INT(GV49)</f>
        <v>3</v>
      </c>
      <c r="GX50" s="25">
        <f>INT(GX49)</f>
        <v>-1</v>
      </c>
    </row>
    <row r="51" spans="6:219" ht="15.75" customHeight="1">
      <c r="F51" s="51">
        <f>IF(BY147=0,"",BY147)</f>
      </c>
      <c r="I51" s="5" t="str">
        <f t="shared" si="26"/>
        <v>Aluminium, Unalloyed</v>
      </c>
      <c r="J51" s="87" t="s">
        <v>1228</v>
      </c>
      <c r="K51" s="5" t="s">
        <v>917</v>
      </c>
      <c r="L51" s="5" t="s">
        <v>1116</v>
      </c>
      <c r="M51" s="5" t="s">
        <v>841</v>
      </c>
      <c r="N51" s="5" t="s">
        <v>961</v>
      </c>
      <c r="O51" t="s">
        <v>1764</v>
      </c>
      <c r="P51" s="34" t="s">
        <v>431</v>
      </c>
      <c r="Q51" s="5" t="s">
        <v>1329</v>
      </c>
      <c r="R51" s="5" t="s">
        <v>1826</v>
      </c>
      <c r="S51" s="5" t="s">
        <v>1355</v>
      </c>
      <c r="T51" s="34" t="s">
        <v>1711</v>
      </c>
      <c r="U51" s="34" t="s">
        <v>375</v>
      </c>
      <c r="V51" s="5" t="s">
        <v>1368</v>
      </c>
      <c r="W51" s="34" t="s">
        <v>722</v>
      </c>
      <c r="X51" s="34" t="s">
        <v>450</v>
      </c>
      <c r="Y51" s="5" t="s">
        <v>1103</v>
      </c>
      <c r="Z51" s="98" t="s">
        <v>1436</v>
      </c>
      <c r="AA51" s="112" t="s">
        <v>1567</v>
      </c>
      <c r="AB51" s="101" t="s">
        <v>403</v>
      </c>
      <c r="AC51" s="119" t="s">
        <v>80</v>
      </c>
      <c r="AD51" s="107" t="s">
        <v>309</v>
      </c>
      <c r="AF51" s="4">
        <v>50</v>
      </c>
      <c r="AG51" s="4">
        <v>5</v>
      </c>
      <c r="AJ51" t="s">
        <v>1946</v>
      </c>
      <c r="AK51">
        <v>3</v>
      </c>
      <c r="AL51">
        <v>1.5</v>
      </c>
      <c r="AM51">
        <v>3</v>
      </c>
      <c r="AO51">
        <v>5.4</v>
      </c>
      <c r="AP51">
        <v>39</v>
      </c>
      <c r="AQ51">
        <v>1.7</v>
      </c>
      <c r="AS51" s="38">
        <f t="shared" si="28"/>
        <v>50</v>
      </c>
      <c r="AT51" s="25" t="b">
        <f t="shared" si="29"/>
        <v>0</v>
      </c>
      <c r="AU51" s="25" t="b">
        <f t="shared" si="30"/>
        <v>0</v>
      </c>
      <c r="AV51" s="25" t="b">
        <f t="shared" si="4"/>
        <v>0</v>
      </c>
      <c r="AW51" s="25" t="b">
        <f t="shared" si="5"/>
        <v>0</v>
      </c>
      <c r="BC51" s="13"/>
      <c r="BD51" s="13" t="s">
        <v>925</v>
      </c>
      <c r="BE51" s="10">
        <f>0.54*BN6</f>
        <v>1.62</v>
      </c>
      <c r="BF51" s="9"/>
      <c r="BG51" s="9"/>
      <c r="BH51" s="9"/>
      <c r="BI51" s="10"/>
      <c r="BJ51" s="10" t="b">
        <f>IF(BH55=101,BE37,IF(BH55=102,BF37,IF(BH55=103,BG37,IF(BH55=104,BH37,IF(BH55=105,BI37,IF(BH55=106,BJ37,IF(BH55=107,BK37,IF(BH55=108,BL37))))))))</f>
        <v>0</v>
      </c>
      <c r="BK51" s="10" t="b">
        <f>IF(BH55=501,BE41,IF(BH55=502,BF41,IF(BH55=503,BG41,IF(BH55=504,BH41,IF(BH55=505,BI41,IF(BH55=506,BJ41,IF(BH55=507,BK41,IF(BH55=508,BL41))))))))</f>
        <v>0</v>
      </c>
      <c r="BL51" s="10" t="b">
        <f>IF(BH55=901,BE45,IF(BH55=902,BF45,IF(BH55=903,BG45,IF(BH55=904,BH45,IF(BH55=905,BI45,IF(BH55=906,BJ45,IF(BH55=907,BK45,IF(BH55=908,BL45))))))))</f>
        <v>0</v>
      </c>
      <c r="BM51" s="10"/>
      <c r="BN51" s="10"/>
      <c r="BU51" s="33"/>
      <c r="BV51" s="33"/>
      <c r="BX51" s="39">
        <v>16</v>
      </c>
      <c r="BY51" s="45">
        <f>LOOKUP(BV$54,BZ$5:DJ$5,BZ51:DJ51)</f>
        <v>0</v>
      </c>
      <c r="BZ51" s="45"/>
      <c r="CD51" s="44" t="str">
        <f>CONCATENATE(BX51,DL91,DM91,DN91)</f>
        <v>16 CC IX-4 IY+0</v>
      </c>
      <c r="CE51" s="44" t="str">
        <f>CA15</f>
        <v>G03 X2. Y2. Z0.375 I0. J2.</v>
      </c>
      <c r="CF51" s="44" t="str">
        <f>CONCATENATE(BX51,EL118,EM118,EN118)</f>
        <v>16 CC IX-3.676 IY+0</v>
      </c>
      <c r="CH51" s="44" t="str">
        <f>CONCATENATE(BX51,EY118)</f>
        <v>16 FN 1: Q2 =+Q2 + +1</v>
      </c>
      <c r="CI51" s="44" t="str">
        <f>CC42</f>
        <v>G01 G40 X-2. Y-2.</v>
      </c>
      <c r="CJ51" s="44" t="str">
        <f>CONCATENATE(BX51,DL82,DM82,DN82,DO82,DP82,DQ82)</f>
        <v>16 L IX+2 IY-2 RL F156</v>
      </c>
      <c r="CK51" s="4" t="str">
        <f>CE42</f>
        <v>G01 G40 X-1.838 Y-1.838</v>
      </c>
      <c r="CL51" s="44" t="str">
        <f>CONCATENATE(BX51,EL109,EM109,EN109,EO109,EP109,EQ109)</f>
        <v>16 L IX+1.838 IY-1.838 RL F147</v>
      </c>
      <c r="CN51" s="44" t="str">
        <f>CONCATENATE(BX51,DL103,DM103,DN103,DO103,DP103)</f>
        <v>16 L IX-2 IY-2 R0</v>
      </c>
      <c r="CO51" s="44" t="str">
        <f>CO21</f>
        <v>#2=0</v>
      </c>
      <c r="CP51" s="44" t="str">
        <f>CONCATENATE(BX51,DY103,DZ103,EA103,EB103,EC103)</f>
        <v>16 L IX-1.733 IY-1.733 R0</v>
      </c>
      <c r="CQ51" s="44" t="str">
        <f>CQ21</f>
        <v>#2=0</v>
      </c>
      <c r="CR51" s="152" t="str">
        <f>CONCATENATE(BX51,EL103,EM103,EN103,EO103,EP103)</f>
        <v>16 L IX-1.595 IY-1.595 R0</v>
      </c>
      <c r="CT51" s="152" t="str">
        <f>CONCATENATE(BX51,DL100,DM100,DN100)</f>
        <v>16 CP IPA+90 IZ+0.375 DR+</v>
      </c>
      <c r="CU51" s="44" t="str">
        <f>CS24</f>
        <v>G03 X4.046 Y-4.069 Z0.75 I4.046 J-0.023</v>
      </c>
      <c r="CV51" s="152" t="str">
        <f>CONCATENATE(BX51,DL100,DM100,DN100)</f>
        <v>16 CP IPA+90 IZ+0.375 DR+</v>
      </c>
      <c r="CW51" s="44" t="str">
        <f>CONCATENATE(GN51,GO51,GP51,GQ51,GR51,GS51,GT51,GU51,GV51,GW51,GX51,GY51)</f>
        <v>G03 X3.722 Y-3.745 Z0.75 I3.722 J-0.023</v>
      </c>
      <c r="CX51" s="152" t="str">
        <f>CV51</f>
        <v>16 CP IPA+90 IZ+0.375 DR+</v>
      </c>
      <c r="CZ51" s="44" t="str">
        <f>CY33</f>
        <v>G00 Z34.25</v>
      </c>
      <c r="DA51" s="44" t="str">
        <f>CY15</f>
        <v>G01 G41 X2. C-2. F156</v>
      </c>
      <c r="DB51" s="44" t="str">
        <f>CG45</f>
        <v>G00 Z-1.</v>
      </c>
      <c r="DC51" s="44" t="str">
        <f>CZ42</f>
        <v>G03 X-2. C2. Z0.375 I-2. J0.</v>
      </c>
      <c r="DD51" s="44" t="str">
        <f>DA42</f>
        <v>G03 X-1.838 C1.838 Z0.375 I-1.838 J0.</v>
      </c>
      <c r="DF51" s="44" t="str">
        <f>CZ36</f>
        <v>G03 X2. C2. Z0.375 I0. J2.</v>
      </c>
      <c r="DG51" s="44" t="str">
        <f>DA36</f>
        <v>G03 X1.838 C1.838 Z0.375 I0. J1.838</v>
      </c>
      <c r="DI51" s="44" t="str">
        <f>DH24</f>
        <v>G03 X-4.046 C-4.023 Z0.75 I-0.023 J-4.023</v>
      </c>
      <c r="DJ51" s="44" t="str">
        <f>CONCATENATE(GN48,GO48,GP48,HK51,GR48,GS48,GT48,GU48,GV48,GW48,GX48,GY48)</f>
        <v>G03 X-3.722 C-3.699 Z0.75 I-0.023 J-3.699</v>
      </c>
      <c r="DU51" s="18"/>
      <c r="EL51" s="18"/>
      <c r="EM51" s="18"/>
      <c r="EN51" s="18"/>
      <c r="EO51" s="18"/>
      <c r="EP51" s="18"/>
      <c r="EQ51" s="18"/>
      <c r="ER51" s="18"/>
      <c r="ES51" s="18"/>
      <c r="ET51" s="18"/>
      <c r="EU51" s="18"/>
      <c r="EV51" s="18"/>
      <c r="EW51" s="18"/>
      <c r="GM51" s="49">
        <v>16</v>
      </c>
      <c r="GN51" s="33" t="s">
        <v>585</v>
      </c>
      <c r="GO51" s="33" t="s">
        <v>584</v>
      </c>
      <c r="GP51" s="18" t="str">
        <f>SUBSTITUTE(GP49,",",".")</f>
        <v>3.722</v>
      </c>
      <c r="GQ51" s="18" t="str">
        <f>IF(GP49=GP50,". Y"," Y")</f>
        <v> Y</v>
      </c>
      <c r="GR51" s="18" t="str">
        <f>SUBSTITUTE(GR49,",",".")</f>
        <v>-3.745</v>
      </c>
      <c r="GS51" s="18" t="str">
        <f>IF(GR49=GR50,". Z"," Z")</f>
        <v> Z</v>
      </c>
      <c r="GT51" s="18" t="str">
        <f>SUBSTITUTE(GT49,",",".")</f>
        <v>0.75</v>
      </c>
      <c r="GU51" s="18" t="str">
        <f>IF(GT49=GT50,". I"," I")</f>
        <v> I</v>
      </c>
      <c r="GV51" s="18" t="str">
        <f>SUBSTITUTE(GV49,",",".")</f>
        <v>3.722</v>
      </c>
      <c r="GW51" s="18" t="str">
        <f>IF(GV49=GV50,". J"," J")</f>
        <v> J</v>
      </c>
      <c r="GX51" s="18" t="str">
        <f>SUBSTITUTE(GX49,",",".")</f>
        <v>-0.023</v>
      </c>
      <c r="GY51" s="18">
        <f>IF(GX49=GX50,".","")</f>
      </c>
      <c r="HJ51" s="49">
        <v>16</v>
      </c>
      <c r="HK51" s="33" t="str">
        <f>IF(GP46=GP47,". C"," C")</f>
        <v> C</v>
      </c>
    </row>
    <row r="52" spans="9:206" ht="15.75" customHeight="1">
      <c r="I52" s="5" t="str">
        <f t="shared" si="26"/>
        <v>Aluminium, Alloyed, &lt; 0.5% Si</v>
      </c>
      <c r="J52" s="87" t="s">
        <v>1229</v>
      </c>
      <c r="K52" s="5" t="s">
        <v>918</v>
      </c>
      <c r="L52" s="5" t="s">
        <v>1117</v>
      </c>
      <c r="M52" s="5" t="s">
        <v>794</v>
      </c>
      <c r="N52" s="5" t="s">
        <v>962</v>
      </c>
      <c r="O52" t="s">
        <v>1765</v>
      </c>
      <c r="P52" s="34" t="s">
        <v>432</v>
      </c>
      <c r="Q52" s="5" t="s">
        <v>1241</v>
      </c>
      <c r="R52" s="5" t="s">
        <v>1827</v>
      </c>
      <c r="S52" s="5" t="s">
        <v>1356</v>
      </c>
      <c r="T52" s="34" t="s">
        <v>1712</v>
      </c>
      <c r="U52" s="5" t="s">
        <v>376</v>
      </c>
      <c r="V52" s="5" t="s">
        <v>1466</v>
      </c>
      <c r="W52" s="34" t="s">
        <v>633</v>
      </c>
      <c r="X52" s="34" t="s">
        <v>46</v>
      </c>
      <c r="Y52" s="5" t="s">
        <v>1104</v>
      </c>
      <c r="Z52" s="98" t="s">
        <v>1437</v>
      </c>
      <c r="AA52" s="112" t="s">
        <v>1582</v>
      </c>
      <c r="AB52" s="101" t="s">
        <v>404</v>
      </c>
      <c r="AC52" s="119" t="s">
        <v>81</v>
      </c>
      <c r="AD52" s="107" t="s">
        <v>151</v>
      </c>
      <c r="AF52" s="4">
        <v>51</v>
      </c>
      <c r="AG52" s="4">
        <v>5</v>
      </c>
      <c r="AJ52" t="s">
        <v>1947</v>
      </c>
      <c r="AK52">
        <v>3</v>
      </c>
      <c r="AL52">
        <v>1.5</v>
      </c>
      <c r="AM52">
        <v>3</v>
      </c>
      <c r="AO52">
        <v>3.8</v>
      </c>
      <c r="AP52">
        <v>39</v>
      </c>
      <c r="AQ52">
        <v>1.7</v>
      </c>
      <c r="AS52" s="38">
        <f t="shared" si="28"/>
        <v>51</v>
      </c>
      <c r="AT52" s="25" t="b">
        <f t="shared" si="29"/>
        <v>0</v>
      </c>
      <c r="AU52" s="25" t="b">
        <f t="shared" si="30"/>
        <v>0</v>
      </c>
      <c r="AV52" s="25" t="b">
        <f t="shared" si="4"/>
        <v>0</v>
      </c>
      <c r="AW52" s="25" t="b">
        <f t="shared" si="5"/>
        <v>0</v>
      </c>
      <c r="BC52" s="13"/>
      <c r="BD52" s="13" t="s">
        <v>948</v>
      </c>
      <c r="BE52" s="11">
        <f>BE51/BG13</f>
        <v>0.10125</v>
      </c>
      <c r="BF52" s="9"/>
      <c r="BG52" s="25">
        <f>LOOKUP(BE52,BE36:BN36,BE35:BN35)</f>
        <v>6</v>
      </c>
      <c r="BH52" s="25">
        <f>LOOKUP(BE53,BD37:BD48,BC37:BC48)</f>
        <v>700</v>
      </c>
      <c r="BI52" s="10"/>
      <c r="BJ52" s="10" t="b">
        <f>IF(BH55=109,BM37,IF(BH55=110,BN37,IF(BH55=201,BE38,IF(BH55=202,BF38,IF(BH55=203,BG38,IF(BH55=204,BH38,IF(BH55=205,BI38,IF(BH55=206,BJ38))))))))</f>
        <v>0</v>
      </c>
      <c r="BK52" s="10" t="b">
        <f>IF(BH55=509,BM41,IF(BH55=510,BN41,IF(BH55=601,BE42,IF(BH55=602,BF42,IF(BH55=603,BG42,IF(BH55=604,BH42,IF(BH55=605,BI42,IF(BH55=606,BJ42))))))))</f>
        <v>0</v>
      </c>
      <c r="BL52" s="10" t="b">
        <f>IF(BH55=909,BM45,IF(BH55=910,BN45,IF(BH55=1001,BE46,IF(BH55=1002,BF46,IF(BH55=1003,BG46,IF(BH55=1004,BH46,IF(BH55=1005,BI46,IF(BH55=1006,BJ46))))))))</f>
        <v>0</v>
      </c>
      <c r="BM52" s="10"/>
      <c r="BN52" s="10"/>
      <c r="BU52" s="33"/>
      <c r="BV52" s="33"/>
      <c r="BX52" s="39"/>
      <c r="CL52" s="44"/>
      <c r="DU52" s="18"/>
      <c r="EL52" s="18"/>
      <c r="EM52" s="18"/>
      <c r="EN52" s="18"/>
      <c r="EO52" s="18"/>
      <c r="EP52" s="18"/>
      <c r="EQ52" s="18"/>
      <c r="ER52" s="18"/>
      <c r="ES52" s="18"/>
      <c r="ET52" s="18"/>
      <c r="EU52" s="18"/>
      <c r="EV52" s="18"/>
      <c r="EW52" s="18"/>
      <c r="GP52" s="33">
        <f>-(GR49+GX49)</f>
        <v>3.7680000000000002</v>
      </c>
      <c r="GR52" s="33">
        <f>-GR49</f>
        <v>3.745</v>
      </c>
      <c r="GT52" s="33">
        <f>GT43</f>
        <v>0.75</v>
      </c>
      <c r="GV52" s="33">
        <f>GX43</f>
        <v>0.023</v>
      </c>
      <c r="GX52" s="33">
        <f>GR52</f>
        <v>3.745</v>
      </c>
    </row>
    <row r="53" spans="9:206" ht="15.75" customHeight="1">
      <c r="I53" s="5" t="str">
        <f t="shared" si="26"/>
        <v>Aluminium, Alloyed, &lt; 10% Si</v>
      </c>
      <c r="J53" s="87" t="s">
        <v>1230</v>
      </c>
      <c r="K53" s="5" t="s">
        <v>856</v>
      </c>
      <c r="L53" s="5" t="s">
        <v>1120</v>
      </c>
      <c r="M53" s="5" t="s">
        <v>795</v>
      </c>
      <c r="N53" s="5" t="s">
        <v>963</v>
      </c>
      <c r="O53" t="s">
        <v>1766</v>
      </c>
      <c r="P53" s="34" t="s">
        <v>433</v>
      </c>
      <c r="Q53" s="5" t="s">
        <v>1242</v>
      </c>
      <c r="R53" s="5" t="s">
        <v>1828</v>
      </c>
      <c r="S53" s="5" t="s">
        <v>1357</v>
      </c>
      <c r="T53" s="34" t="s">
        <v>1713</v>
      </c>
      <c r="U53" s="5" t="s">
        <v>377</v>
      </c>
      <c r="V53" s="5" t="s">
        <v>1467</v>
      </c>
      <c r="W53" s="34" t="s">
        <v>634</v>
      </c>
      <c r="X53" s="34" t="s">
        <v>47</v>
      </c>
      <c r="Y53" s="5" t="s">
        <v>1003</v>
      </c>
      <c r="Z53" s="98" t="s">
        <v>1438</v>
      </c>
      <c r="AA53" s="112" t="s">
        <v>1583</v>
      </c>
      <c r="AB53" s="101" t="s">
        <v>421</v>
      </c>
      <c r="AC53" s="119" t="s">
        <v>82</v>
      </c>
      <c r="AD53" s="107" t="s">
        <v>152</v>
      </c>
      <c r="AF53" s="4">
        <v>52</v>
      </c>
      <c r="AG53" s="4">
        <v>6</v>
      </c>
      <c r="AH53" s="4">
        <v>2</v>
      </c>
      <c r="AI53" s="4">
        <v>1</v>
      </c>
      <c r="AJ53" t="s">
        <v>1948</v>
      </c>
      <c r="AK53">
        <v>6</v>
      </c>
      <c r="AL53">
        <v>6</v>
      </c>
      <c r="AM53">
        <v>3</v>
      </c>
      <c r="AN53">
        <v>1.25</v>
      </c>
      <c r="AO53">
        <v>19.3</v>
      </c>
      <c r="AP53">
        <v>64</v>
      </c>
      <c r="AQ53">
        <v>7.8</v>
      </c>
      <c r="AS53" s="38">
        <f t="shared" si="28"/>
        <v>52</v>
      </c>
      <c r="AT53" s="25" t="b">
        <f t="shared" si="29"/>
        <v>0</v>
      </c>
      <c r="AU53" s="25" t="b">
        <f t="shared" si="30"/>
        <v>0</v>
      </c>
      <c r="AV53" s="25">
        <f t="shared" si="4"/>
        <v>52</v>
      </c>
      <c r="AW53" s="25" t="b">
        <f t="shared" si="5"/>
        <v>0</v>
      </c>
      <c r="BC53" s="13"/>
      <c r="BD53" s="13" t="s">
        <v>1027</v>
      </c>
      <c r="BE53" s="10">
        <f>BE54/BG13</f>
        <v>2.25</v>
      </c>
      <c r="BF53" s="9"/>
      <c r="BG53" s="9"/>
      <c r="BH53" s="9"/>
      <c r="BI53" s="10"/>
      <c r="BJ53" s="10" t="b">
        <f>IF(BH55=207,BK38,IF(BH55=208,BL38,IF(BH55=209,BM38,IF(BH55=210,BN38,IF(BH55=301,BE39,IF(BH55=302,BF39,IF(BH55=303,BG39,IF(BH55=304,BH39))))))))</f>
        <v>0</v>
      </c>
      <c r="BK53" s="10" t="b">
        <f>IF(BH55=607,BK42,IF(BH55=608,BL42,IF(BH55=609,BM42,IF(BH55=610,BN42,IF(BH55=701,BE43,IF(BH55=702,BF43,IF(BH55=703,BG43,IF(BH55=704,BH43))))))))</f>
        <v>0</v>
      </c>
      <c r="BL53" s="10" t="b">
        <f>IF(BH55=1007,BK46,IF(BH55=1008,BL46,IF(BH55=1009,BM46,IF(BH55=1010,BN46,IF(BH55=1101,BE47,IF(BH55=1102,BF47,IF(BH55=1103,BG47,IF(BH55=1104,BH47))))))))</f>
        <v>0</v>
      </c>
      <c r="BM53" s="10"/>
      <c r="BN53" s="10"/>
      <c r="BU53" s="33"/>
      <c r="BV53" s="33"/>
      <c r="BX53" s="39"/>
      <c r="CL53" s="44"/>
      <c r="DU53" s="18"/>
      <c r="EL53" s="18"/>
      <c r="EM53" s="18"/>
      <c r="EN53" s="18"/>
      <c r="EO53" s="18"/>
      <c r="EP53" s="18"/>
      <c r="EQ53" s="18"/>
      <c r="ER53" s="18"/>
      <c r="ES53" s="18"/>
      <c r="ET53" s="18"/>
      <c r="EU53" s="18"/>
      <c r="EV53" s="18"/>
      <c r="EW53" s="18"/>
      <c r="GP53" s="25">
        <f>INT(GP52)</f>
        <v>3</v>
      </c>
      <c r="GR53" s="25">
        <f>INT(GR52)</f>
        <v>3</v>
      </c>
      <c r="GT53" s="25">
        <f>INT(GT52)</f>
        <v>0</v>
      </c>
      <c r="GV53" s="25">
        <f>INT(GV52)</f>
        <v>0</v>
      </c>
      <c r="GX53" s="25">
        <f>INT(GX52)</f>
        <v>3</v>
      </c>
    </row>
    <row r="54" spans="9:219" ht="15.75" customHeight="1">
      <c r="I54" s="5" t="str">
        <f t="shared" si="26"/>
        <v>Aluminium, Alloyed, &gt; 10% Si</v>
      </c>
      <c r="J54" s="87" t="s">
        <v>1230</v>
      </c>
      <c r="K54" s="5" t="s">
        <v>620</v>
      </c>
      <c r="L54" s="5" t="s">
        <v>1121</v>
      </c>
      <c r="M54" s="5" t="s">
        <v>628</v>
      </c>
      <c r="N54" s="5" t="s">
        <v>922</v>
      </c>
      <c r="O54" t="s">
        <v>1767</v>
      </c>
      <c r="P54" s="34" t="s">
        <v>433</v>
      </c>
      <c r="Q54" s="5" t="s">
        <v>1243</v>
      </c>
      <c r="R54" s="5" t="s">
        <v>1829</v>
      </c>
      <c r="S54" s="5" t="s">
        <v>1350</v>
      </c>
      <c r="T54" s="34" t="s">
        <v>1714</v>
      </c>
      <c r="U54" s="5" t="s">
        <v>378</v>
      </c>
      <c r="V54" s="5" t="s">
        <v>1468</v>
      </c>
      <c r="W54" s="34" t="s">
        <v>635</v>
      </c>
      <c r="X54" s="34" t="s">
        <v>48</v>
      </c>
      <c r="Y54" s="5" t="s">
        <v>1004</v>
      </c>
      <c r="Z54" s="98" t="s">
        <v>1439</v>
      </c>
      <c r="AA54" s="112" t="s">
        <v>1670</v>
      </c>
      <c r="AB54" s="101" t="s">
        <v>422</v>
      </c>
      <c r="AC54" s="119" t="s">
        <v>83</v>
      </c>
      <c r="AD54" s="107" t="s">
        <v>131</v>
      </c>
      <c r="AF54" s="4">
        <v>53</v>
      </c>
      <c r="AG54" s="4">
        <v>6</v>
      </c>
      <c r="AH54" s="4">
        <v>2</v>
      </c>
      <c r="AI54" s="4">
        <v>1</v>
      </c>
      <c r="AJ54" t="s">
        <v>1949</v>
      </c>
      <c r="AK54">
        <v>6</v>
      </c>
      <c r="AL54">
        <v>6</v>
      </c>
      <c r="AM54">
        <v>3</v>
      </c>
      <c r="AN54">
        <v>1.25</v>
      </c>
      <c r="AO54">
        <v>14</v>
      </c>
      <c r="AP54">
        <v>64</v>
      </c>
      <c r="AQ54">
        <v>7.8</v>
      </c>
      <c r="AS54" s="38">
        <f t="shared" si="28"/>
        <v>53</v>
      </c>
      <c r="AT54" s="25" t="b">
        <f t="shared" si="29"/>
        <v>0</v>
      </c>
      <c r="AU54" s="25" t="b">
        <f t="shared" si="30"/>
        <v>0</v>
      </c>
      <c r="AV54" s="25">
        <f t="shared" si="4"/>
        <v>53</v>
      </c>
      <c r="AW54" s="25" t="b">
        <f t="shared" si="5"/>
        <v>0</v>
      </c>
      <c r="BC54" s="13"/>
      <c r="BD54" s="15" t="s">
        <v>1028</v>
      </c>
      <c r="BE54" s="10">
        <f>IF(C16&lt;=BM62,C16,BM62)</f>
        <v>36</v>
      </c>
      <c r="BF54" s="9"/>
      <c r="BG54" s="10"/>
      <c r="BH54" s="10"/>
      <c r="BI54" s="10"/>
      <c r="BJ54" s="10" t="b">
        <f>IF(BH55=305,BI39,IF(BH55=306,BJ39,IF(BH55=307,BK39,IF(BH55=308,BL39,IF(BH55=309,BM39,IF(BH55=310,BN39,IF(BH55=401,BE40,IF(BH55=402,BF40))))))))</f>
        <v>0</v>
      </c>
      <c r="BK54" s="10">
        <f>IF(BH55=705,BI43,IF(BH55=706,BJ43,IF(BH55=707,BK43,IF(BH55=708,BL43,IF(BH55=709,BM43,IF(BH55=710,BN43,IF(BH55=801,BE44,IF(BH55=802,BF44))))))))</f>
        <v>0.6133643240924365</v>
      </c>
      <c r="BL54" s="10" t="b">
        <f>IF(BH55=1105,BI47,IF(BH55=1106,BJ47,IF(BH55=1107,BK47,IF(BH55=1108,BL47,IF(BH55=1109,BM47,IF(BH55=1110,BN47,IF(BH55=1201,BE48,IF(BH55=1202,BF48))))))))</f>
        <v>0</v>
      </c>
      <c r="BM54" s="10"/>
      <c r="BN54" s="10"/>
      <c r="BU54" s="39" t="s">
        <v>646</v>
      </c>
      <c r="BV54" s="33">
        <f>BV13-SUM(BV15:BV38)</f>
        <v>11</v>
      </c>
      <c r="BX54" s="39">
        <v>17</v>
      </c>
      <c r="BY54" s="45">
        <f>LOOKUP(BV$54,BZ$5:DJ$5,BZ54:DJ54)</f>
        <v>0</v>
      </c>
      <c r="BZ54" s="45"/>
      <c r="CD54" s="44" t="str">
        <f>CONCATENATE(BX54,DL94,DM94,DN94)</f>
        <v>17 CP IPA+360 IZ+3 DR+</v>
      </c>
      <c r="CE54" s="44" t="str">
        <f>CA18</f>
        <v>G03 X0. Y0. Z3. I-4. J0.</v>
      </c>
      <c r="CF54" s="44" t="str">
        <f>CD54</f>
        <v>17 CP IPA+360 IZ+3 DR+</v>
      </c>
      <c r="CH54" s="44" t="str">
        <f>CONCATENATE(BX54,EY121)</f>
        <v>17 FN 12: IF +Q2 LT +Q1 GOTO LBL 101</v>
      </c>
      <c r="CI54" s="44" t="str">
        <f>CG36</f>
        <v>G00 Z35.25</v>
      </c>
      <c r="CJ54" s="44" t="str">
        <f>CONCATENATE(BX54,DL85,DM85)</f>
        <v>17 CC IX+0 IY+2</v>
      </c>
      <c r="CK54" s="4" t="str">
        <f>CE45</f>
        <v>G00 Z-3.75</v>
      </c>
      <c r="CL54" s="44" t="str">
        <f>CONCATENATE(BX54,EL112,EM112)</f>
        <v>17 CC IX+0 IY+1.838</v>
      </c>
      <c r="CN54" s="44" t="str">
        <f>CONCATENATE(BX54,DY106,FE121,FF121,EA106)</f>
        <v>17 L IZ+1.25 FMAX</v>
      </c>
      <c r="CO54" s="44" t="str">
        <f>CONCATENATE(FI54)</f>
        <v>WHILE[#2LT#1]DO2</v>
      </c>
      <c r="CP54" s="44" t="str">
        <f>CONCATENATE(BX54,DY106,FK42,EA106)</f>
        <v>17 L IZ-36.75 FMAX</v>
      </c>
      <c r="CQ54" s="44" t="str">
        <f>CO54</f>
        <v>WHILE[#2LT#1]DO2</v>
      </c>
      <c r="CR54" s="152" t="str">
        <f>CP54</f>
        <v>17 L IZ-36.75 FMAX</v>
      </c>
      <c r="CT54" s="152" t="str">
        <f>CONCATENATE(BX54,DL103,FQ33,DN103,DO103,DP103)</f>
        <v>17 L IX-2.092 IY-2 R0</v>
      </c>
      <c r="CU54" s="44" t="str">
        <f>CS27</f>
        <v>G03 X4.092 Y4.069 Z0.75 I0.023 J4.069</v>
      </c>
      <c r="CV54" s="152" t="str">
        <f>CONCATENATE(BX54,DY103,GD33,EA103,EB103,EC103)</f>
        <v>17 L IX-1.825 IY-1.733 R0</v>
      </c>
      <c r="CW54" s="44" t="str">
        <f>CONCATENATE(GN54,GO54,GP54,GQ54,GR54,GS54,GT54,GU54,GV54,GW54,GX54,GY54)</f>
        <v>G03 X3.768 Y3.745 Z0.75 I0.023 J3.745</v>
      </c>
      <c r="CX54" s="152" t="str">
        <f>CONCATENATE(BX54,DY103,GQ33,EA103,GS33,EC103)</f>
        <v>17 L IX-1.687 IY-1.595 R0</v>
      </c>
      <c r="DA54" s="44" t="str">
        <f>CY18</f>
        <v>G03 X2. C2. Z0.375 I0. J2.</v>
      </c>
      <c r="DC54" s="44" t="str">
        <f>CZ45</f>
        <v>G01 G40 X-2. C-2.</v>
      </c>
      <c r="DD54" s="44" t="str">
        <f>DA45</f>
        <v>G01 G40 X-1.838 C-1.838</v>
      </c>
      <c r="DF54" s="44" t="str">
        <f>CO51</f>
        <v>#2=0</v>
      </c>
      <c r="DG54" s="44" t="str">
        <f>DF54</f>
        <v>#2=0</v>
      </c>
      <c r="DI54" s="44" t="str">
        <f>DH27</f>
        <v>G03 X4.046 C-4.069 Z0.75 I4.046 J-0.023</v>
      </c>
      <c r="DJ54" s="44" t="str">
        <f>CONCATENATE(GN51,GO51,GP51,HK54,GR51,GS51,GT51,GU51,GV51,GW51,GX51,GY51)</f>
        <v>G03 X3.722 C-3.745 Z0.75 I3.722 J-0.023</v>
      </c>
      <c r="DU54" s="18"/>
      <c r="EL54" s="18"/>
      <c r="EM54" s="18"/>
      <c r="EN54" s="18"/>
      <c r="EO54" s="18"/>
      <c r="EP54" s="18"/>
      <c r="EQ54" s="18"/>
      <c r="ER54" s="18"/>
      <c r="ES54" s="18"/>
      <c r="ET54" s="18"/>
      <c r="EU54" s="18"/>
      <c r="EV54" s="18"/>
      <c r="EW54" s="18"/>
      <c r="FH54" s="49">
        <v>17</v>
      </c>
      <c r="FI54" s="34" t="s">
        <v>987</v>
      </c>
      <c r="GM54" s="49">
        <v>17</v>
      </c>
      <c r="GN54" s="33" t="s">
        <v>585</v>
      </c>
      <c r="GO54" s="33" t="s">
        <v>584</v>
      </c>
      <c r="GP54" s="18" t="str">
        <f>SUBSTITUTE(GP52,",",".")</f>
        <v>3.768</v>
      </c>
      <c r="GQ54" s="18" t="str">
        <f>IF(GP52=GP53,". Y"," Y")</f>
        <v> Y</v>
      </c>
      <c r="GR54" s="18" t="str">
        <f>SUBSTITUTE(GR52,",",".")</f>
        <v>3.745</v>
      </c>
      <c r="GS54" s="18" t="str">
        <f>IF(GR52=GR53,". Z"," Z")</f>
        <v> Z</v>
      </c>
      <c r="GT54" s="18" t="str">
        <f>SUBSTITUTE(GT52,",",".")</f>
        <v>0.75</v>
      </c>
      <c r="GU54" s="18" t="str">
        <f>IF(GT52=GT53,". I"," I")</f>
        <v> I</v>
      </c>
      <c r="GV54" s="18" t="str">
        <f>SUBSTITUTE(GV52,",",".")</f>
        <v>0.023</v>
      </c>
      <c r="GW54" s="18" t="str">
        <f>IF(GV52=GV53,". J"," J")</f>
        <v> J</v>
      </c>
      <c r="GX54" s="18" t="str">
        <f>SUBSTITUTE(GX52,",",".")</f>
        <v>3.745</v>
      </c>
      <c r="GY54" s="18">
        <f>IF(GX52=GX53,".","")</f>
      </c>
      <c r="HJ54" s="49">
        <v>17</v>
      </c>
      <c r="HK54" s="33" t="str">
        <f>IF(GP49=GP50,". C"," C")</f>
        <v> C</v>
      </c>
    </row>
    <row r="55" spans="9:153" ht="15.75" customHeight="1">
      <c r="I55" s="5" t="str">
        <f t="shared" si="26"/>
        <v>Inconel 718</v>
      </c>
      <c r="J55" s="87" t="s">
        <v>629</v>
      </c>
      <c r="K55" s="5" t="s">
        <v>629</v>
      </c>
      <c r="L55" s="5" t="s">
        <v>1122</v>
      </c>
      <c r="M55" s="5" t="s">
        <v>629</v>
      </c>
      <c r="N55" s="5" t="s">
        <v>629</v>
      </c>
      <c r="O55" s="5" t="s">
        <v>629</v>
      </c>
      <c r="P55" s="34" t="s">
        <v>629</v>
      </c>
      <c r="Q55" s="5" t="s">
        <v>1244</v>
      </c>
      <c r="R55" s="5" t="s">
        <v>629</v>
      </c>
      <c r="S55" s="5" t="s">
        <v>629</v>
      </c>
      <c r="T55" s="34" t="s">
        <v>629</v>
      </c>
      <c r="U55" s="5" t="s">
        <v>629</v>
      </c>
      <c r="V55" s="5" t="s">
        <v>629</v>
      </c>
      <c r="W55" s="34" t="s">
        <v>636</v>
      </c>
      <c r="X55" s="34" t="s">
        <v>455</v>
      </c>
      <c r="Y55" s="5" t="s">
        <v>629</v>
      </c>
      <c r="Z55" s="98" t="s">
        <v>1440</v>
      </c>
      <c r="AA55" s="112" t="s">
        <v>1671</v>
      </c>
      <c r="AB55" s="101" t="s">
        <v>369</v>
      </c>
      <c r="AC55" s="121" t="s">
        <v>84</v>
      </c>
      <c r="AD55" s="107" t="s">
        <v>132</v>
      </c>
      <c r="AF55" s="4">
        <v>54</v>
      </c>
      <c r="AG55" s="4">
        <v>6</v>
      </c>
      <c r="AH55" s="4">
        <v>2</v>
      </c>
      <c r="AI55" s="4">
        <v>1</v>
      </c>
      <c r="AJ55" t="s">
        <v>1950</v>
      </c>
      <c r="AK55">
        <v>6</v>
      </c>
      <c r="AL55">
        <v>4.5</v>
      </c>
      <c r="AM55">
        <v>3</v>
      </c>
      <c r="AN55">
        <v>1</v>
      </c>
      <c r="AO55">
        <v>14.5</v>
      </c>
      <c r="AP55">
        <v>64</v>
      </c>
      <c r="AQ55">
        <v>5.8</v>
      </c>
      <c r="AS55" s="38">
        <f t="shared" si="28"/>
        <v>54</v>
      </c>
      <c r="AT55" s="25" t="b">
        <f t="shared" si="29"/>
        <v>0</v>
      </c>
      <c r="AU55" s="25" t="b">
        <f t="shared" si="30"/>
        <v>0</v>
      </c>
      <c r="AV55" s="25">
        <f t="shared" si="4"/>
        <v>54</v>
      </c>
      <c r="AW55" s="25" t="b">
        <f t="shared" si="5"/>
        <v>0</v>
      </c>
      <c r="BC55" s="13"/>
      <c r="BD55" s="15"/>
      <c r="BE55" s="10"/>
      <c r="BF55" s="9"/>
      <c r="BG55" s="10"/>
      <c r="BH55" s="6">
        <f>BH52+BG52</f>
        <v>706</v>
      </c>
      <c r="BI55" s="10"/>
      <c r="BJ55" s="10" t="b">
        <f>IF(BH55=403,BG40,IF(BH55=404,BH40,IF(BH55=405,BI40,IF(BH55=406,BJ40,IF(BH55=407,BK40,IF(BH55=408,BL40,IF(BH55=409,BM40,IF(BH55=410,BN40))))))))</f>
        <v>0</v>
      </c>
      <c r="BK55" s="10" t="b">
        <f>IF(BH55=803,BG44,IF(BH55=804,BH44,IF(BH55=805,BI44,IF(BH55=806,BJ44,IF(BH55=807,BK44,IF(BH55=808,BL44,IF(BH55=809,BM44,IF(BH55=810,BN44))))))))</f>
        <v>0</v>
      </c>
      <c r="BL55" s="10" t="b">
        <f>IF(BH55=1203,BG48,IF(BH55=1204,BH48,IF(BH55=1205,BI48,IF(BH55=1206,BJ48,IF(BH55=1207,BK48,IF(BH55=1208,BL48,IF(BH55=1209,BM48,IF(BH55=1210,BN48))))))))</f>
        <v>0</v>
      </c>
      <c r="BM55" s="7" t="s">
        <v>672</v>
      </c>
      <c r="BN55" s="10"/>
      <c r="BX55" s="39"/>
      <c r="CL55" s="44"/>
      <c r="DU55" s="18"/>
      <c r="EL55" s="18"/>
      <c r="EM55" s="18"/>
      <c r="EN55" s="18"/>
      <c r="EO55" s="18"/>
      <c r="EP55" s="18"/>
      <c r="EQ55" s="18"/>
      <c r="ER55" s="18"/>
      <c r="ES55" s="18"/>
      <c r="ET55" s="18"/>
      <c r="EU55" s="18"/>
      <c r="EV55" s="18"/>
      <c r="EW55" s="18"/>
    </row>
    <row r="56" spans="9:153" ht="15.75" customHeight="1">
      <c r="I56" s="5" t="str">
        <f>LOOKUP(H$27,J$2:AD$2,J56:AD56)</f>
        <v>Graphite</v>
      </c>
      <c r="J56" s="87" t="s">
        <v>1005</v>
      </c>
      <c r="K56" s="5" t="s">
        <v>621</v>
      </c>
      <c r="L56" s="5" t="s">
        <v>1123</v>
      </c>
      <c r="M56" s="5" t="s">
        <v>835</v>
      </c>
      <c r="N56" s="5" t="s">
        <v>1102</v>
      </c>
      <c r="O56" t="s">
        <v>1102</v>
      </c>
      <c r="P56" s="34" t="s">
        <v>835</v>
      </c>
      <c r="Q56" s="5" t="s">
        <v>1245</v>
      </c>
      <c r="R56" s="5" t="s">
        <v>1005</v>
      </c>
      <c r="S56" s="5" t="s">
        <v>1351</v>
      </c>
      <c r="T56" s="34" t="s">
        <v>1715</v>
      </c>
      <c r="U56" s="5" t="s">
        <v>1005</v>
      </c>
      <c r="V56" s="5" t="s">
        <v>1245</v>
      </c>
      <c r="W56" s="34" t="s">
        <v>1005</v>
      </c>
      <c r="X56" s="34" t="s">
        <v>456</v>
      </c>
      <c r="Y56" s="5" t="s">
        <v>1005</v>
      </c>
      <c r="Z56" s="98" t="s">
        <v>1441</v>
      </c>
      <c r="AA56" s="112" t="s">
        <v>1672</v>
      </c>
      <c r="AB56" s="101" t="s">
        <v>370</v>
      </c>
      <c r="AC56" s="119" t="s">
        <v>85</v>
      </c>
      <c r="AD56" s="107" t="s">
        <v>133</v>
      </c>
      <c r="AF56" s="4">
        <v>55</v>
      </c>
      <c r="AG56" s="4">
        <v>6</v>
      </c>
      <c r="AH56" s="4">
        <v>2</v>
      </c>
      <c r="AI56" s="4">
        <v>1</v>
      </c>
      <c r="AJ56" t="s">
        <v>1951</v>
      </c>
      <c r="AK56">
        <v>6</v>
      </c>
      <c r="AL56">
        <v>4.5</v>
      </c>
      <c r="AM56">
        <v>3</v>
      </c>
      <c r="AN56">
        <v>1</v>
      </c>
      <c r="AO56">
        <v>10</v>
      </c>
      <c r="AP56">
        <v>64</v>
      </c>
      <c r="AQ56">
        <v>5.8</v>
      </c>
      <c r="AS56" s="38">
        <f t="shared" si="28"/>
        <v>55</v>
      </c>
      <c r="AT56" s="25" t="b">
        <f t="shared" si="29"/>
        <v>0</v>
      </c>
      <c r="AU56" s="25" t="b">
        <f t="shared" si="30"/>
        <v>0</v>
      </c>
      <c r="AV56" s="25">
        <f t="shared" si="4"/>
        <v>55</v>
      </c>
      <c r="AW56" s="25" t="b">
        <f t="shared" si="5"/>
        <v>0</v>
      </c>
      <c r="BC56" s="13"/>
      <c r="BD56" s="15"/>
      <c r="BE56" s="10"/>
      <c r="BF56" s="9"/>
      <c r="BG56" s="10"/>
      <c r="BH56" s="10"/>
      <c r="BI56" s="10"/>
      <c r="BJ56" s="10" t="b">
        <f>IF(BH55&gt;402,BJ55,IF(BH55&gt;304,BJ54,IF(BH55&gt;206,BJ53,IF(BH55&gt;108,BJ52,IF(BH55&gt;0,BJ51)))))</f>
        <v>0</v>
      </c>
      <c r="BK56" s="10">
        <f>IF(BH55&gt;802,BK55,IF(BH55&gt;704,BK54,IF(BH55&gt;606,BK53,IF(BH55&gt;508,BK52,IF(BH55&gt;410,BK51)))))</f>
        <v>0.6133643240924365</v>
      </c>
      <c r="BL56" s="10" t="b">
        <f>IF(BH55&gt;1202,BL55,IF(BH55&gt;1104,BL54,IF(BH55&gt;1006,BL53,IF(BH55&gt;908,BL52,IF(BH55&gt;810,BL51)))))</f>
        <v>0</v>
      </c>
      <c r="BM56" s="31">
        <f>IF(BH55&gt;810,BL56,IF(BH55&gt;410,BK56,IF(BH55&gt;0,BJ56)))</f>
        <v>0.6133643240924365</v>
      </c>
      <c r="BN56" s="32" t="s">
        <v>712</v>
      </c>
      <c r="BR56"/>
      <c r="BX56" s="39"/>
      <c r="CL56" s="44"/>
      <c r="DU56" s="18"/>
      <c r="EL56" s="18"/>
      <c r="EM56" s="18"/>
      <c r="EN56" s="18"/>
      <c r="EO56" s="18"/>
      <c r="EP56" s="18"/>
      <c r="EQ56" s="18"/>
      <c r="ER56" s="18"/>
      <c r="ES56" s="18"/>
      <c r="ET56" s="18"/>
      <c r="EU56" s="18"/>
      <c r="EV56" s="18"/>
      <c r="EW56" s="18"/>
    </row>
    <row r="57" spans="10:219" ht="15.75" customHeight="1">
      <c r="J57" s="87"/>
      <c r="Z57" s="98"/>
      <c r="AC57" s="120"/>
      <c r="AF57" s="4">
        <v>56</v>
      </c>
      <c r="AG57" s="4">
        <v>6</v>
      </c>
      <c r="AH57" s="4">
        <v>2</v>
      </c>
      <c r="AI57" s="4">
        <v>1</v>
      </c>
      <c r="AJ57" t="s">
        <v>1952</v>
      </c>
      <c r="AK57">
        <v>4</v>
      </c>
      <c r="AL57">
        <v>3.8</v>
      </c>
      <c r="AM57">
        <v>3</v>
      </c>
      <c r="AN57">
        <v>0.8</v>
      </c>
      <c r="AO57">
        <v>9</v>
      </c>
      <c r="AP57">
        <v>51</v>
      </c>
      <c r="AQ57">
        <v>4.8</v>
      </c>
      <c r="AS57" s="38">
        <f t="shared" si="28"/>
        <v>56</v>
      </c>
      <c r="AT57" s="25" t="b">
        <f t="shared" si="29"/>
        <v>0</v>
      </c>
      <c r="AU57" s="25" t="b">
        <f t="shared" si="30"/>
        <v>0</v>
      </c>
      <c r="AV57" s="25">
        <f t="shared" si="4"/>
        <v>56</v>
      </c>
      <c r="AW57" s="25" t="b">
        <f t="shared" si="5"/>
        <v>0</v>
      </c>
      <c r="BM57" s="28">
        <f>BM56*0.67</f>
        <v>0.41095409714193243</v>
      </c>
      <c r="BN57" s="4" t="s">
        <v>713</v>
      </c>
      <c r="BQ57" s="39" t="s">
        <v>577</v>
      </c>
      <c r="BR57" s="40">
        <f>ROUND((C14-BG13)/4,3)</f>
        <v>2</v>
      </c>
      <c r="BX57" s="39">
        <v>18</v>
      </c>
      <c r="BY57" s="45">
        <f>LOOKUP(BV$54,BZ$5:DJ$5,BZ57:DJ57)</f>
        <v>0</v>
      </c>
      <c r="BZ57" s="45"/>
      <c r="CD57" s="44" t="str">
        <f>CONCATENATE(BX57,DL97,DM97,DN97)</f>
        <v>18 CC IX-2 IY+0</v>
      </c>
      <c r="CE57" s="44" t="str">
        <f>CA21</f>
        <v>G03 X-2. Y2. Z0.375 I-2. J0.</v>
      </c>
      <c r="CF57" s="44" t="str">
        <f>CONCATENATE(BX57,EL124,EM124,EN124)</f>
        <v>18 CC IX-1.838 IY+0</v>
      </c>
      <c r="CH57" s="44" t="str">
        <f>CONCATENATE(BX57,DY106,EZ124,FA124,EA106)</f>
        <v>18 L IZ-1 FMAX</v>
      </c>
      <c r="CI57" s="44" t="str">
        <f>CG39</f>
        <v>#2=#2+1</v>
      </c>
      <c r="CJ57" s="44" t="str">
        <f>CONCATENATE(BX57,DL88,DM88,DN88)</f>
        <v>18 CP IPA+90 IZ+0.375 DR+</v>
      </c>
      <c r="CK57" s="4" t="str">
        <f>CE48</f>
        <v>G01 G41 X2. Y-2. F156</v>
      </c>
      <c r="CL57" s="44" t="str">
        <f>CONCATENATE(BX57,DL88,DM88,DN88)</f>
        <v>18 CP IPA+90 IZ+0.375 DR+</v>
      </c>
      <c r="CO57" s="44" t="str">
        <f>CC36</f>
        <v>G03 X0. Y0. Z3. I-4. J0.</v>
      </c>
      <c r="CP57" s="44" t="str">
        <f>CONCATENATE(BX57,DL82,DM82,DN82,DO82,DP82,DQ82)</f>
        <v>18 L IX+2 IY-2 RL F156</v>
      </c>
      <c r="CQ57" s="44" t="str">
        <f>CE36</f>
        <v>G03 X0. Y0. Z3. I-3.676 J0.</v>
      </c>
      <c r="CR57" s="152" t="str">
        <f>CONCATENATE(BX57,EL109,EM109,EN109,EO109,EP109,EQ109)</f>
        <v>18 L IX+1.838 IY-1.838 RL F147</v>
      </c>
      <c r="CT57" s="152" t="str">
        <f>CONCATENATE(BX57,DL106,DM106,DN106)</f>
        <v>18 L IZ+34.25 FMAX</v>
      </c>
      <c r="CU57" s="44" t="str">
        <f>CS30</f>
        <v>G03 X-2. Y2. Z0.375 I-2. J0.</v>
      </c>
      <c r="CV57" s="152" t="str">
        <f>CONCATENATE(BX57,DY106,DZ106,EA106)</f>
        <v>18 L IZ-3.75 FMAX</v>
      </c>
      <c r="CW57" s="44" t="str">
        <f>CE39</f>
        <v>G03 X-1.838 Y1.838 Z0.375 I-1.838 J0.</v>
      </c>
      <c r="CX57" s="152" t="str">
        <f>CV57</f>
        <v>18 L IZ-3.75 FMAX</v>
      </c>
      <c r="DA57" s="44" t="str">
        <f>CY21</f>
        <v>G03 X0. C0. Z3. I-4. J0.</v>
      </c>
      <c r="DC57" s="44" t="str">
        <f>DB39</f>
        <v>G00 Z35.25</v>
      </c>
      <c r="DD57" s="44" t="str">
        <f>DA48</f>
        <v>G00 Z-3.75</v>
      </c>
      <c r="DF57" s="44" t="str">
        <f>CO54</f>
        <v>WHILE[#2LT#1]DO2</v>
      </c>
      <c r="DG57" s="44" t="str">
        <f>DF57</f>
        <v>WHILE[#2LT#1]DO2</v>
      </c>
      <c r="DI57" s="44" t="str">
        <f>DH30</f>
        <v>G03 X4.092 C4.069 Z0.75 I0.023 J4.069</v>
      </c>
      <c r="DJ57" s="44" t="str">
        <f>CONCATENATE(GN54,GO54,GP54,HK57,GR54,GS54,GT54,GU54,GV54,GW54,GX54,GY54)</f>
        <v>G03 X3.768 C3.745 Z0.75 I0.023 J3.745</v>
      </c>
      <c r="EL57" s="18"/>
      <c r="EM57" s="18"/>
      <c r="EN57" s="18"/>
      <c r="EO57" s="18"/>
      <c r="EP57" s="18"/>
      <c r="EQ57" s="18"/>
      <c r="ER57" s="18"/>
      <c r="ES57" s="18"/>
      <c r="ET57" s="18"/>
      <c r="EU57" s="18"/>
      <c r="EV57" s="18"/>
      <c r="EW57" s="18"/>
      <c r="GM57" s="49"/>
      <c r="HJ57" s="49">
        <v>18</v>
      </c>
      <c r="HK57" s="33" t="str">
        <f>IF(GP52=GP53,". C"," C")</f>
        <v> C</v>
      </c>
    </row>
    <row r="58" spans="10:201" ht="15.75" customHeight="1">
      <c r="J58" s="87"/>
      <c r="Z58" s="98"/>
      <c r="AC58" s="120"/>
      <c r="AF58" s="4">
        <v>57</v>
      </c>
      <c r="AG58" s="4">
        <v>6</v>
      </c>
      <c r="AH58" s="4">
        <v>2</v>
      </c>
      <c r="AI58" s="4">
        <v>1</v>
      </c>
      <c r="AJ58" t="s">
        <v>1953</v>
      </c>
      <c r="AK58">
        <v>4</v>
      </c>
      <c r="AL58">
        <v>3.8</v>
      </c>
      <c r="AM58">
        <v>3</v>
      </c>
      <c r="AN58">
        <v>0.8</v>
      </c>
      <c r="AO58">
        <v>12.1</v>
      </c>
      <c r="AP58">
        <v>51</v>
      </c>
      <c r="AQ58">
        <v>4.8</v>
      </c>
      <c r="AS58" s="38">
        <f t="shared" si="28"/>
        <v>57</v>
      </c>
      <c r="AT58" s="25" t="b">
        <f t="shared" si="29"/>
        <v>0</v>
      </c>
      <c r="AU58" s="25" t="b">
        <f t="shared" si="30"/>
        <v>0</v>
      </c>
      <c r="AV58" s="25">
        <f t="shared" si="4"/>
        <v>57</v>
      </c>
      <c r="AW58" s="25" t="b">
        <f t="shared" si="5"/>
        <v>0</v>
      </c>
      <c r="BM58" s="28">
        <f>IF(BN10=5,BM57,IF(BN10=6,BM57,IF(BN10=7,BM57,BM56)))</f>
        <v>0.6133643240924365</v>
      </c>
      <c r="BR58"/>
      <c r="BX58" s="39"/>
      <c r="CL58" s="44"/>
      <c r="EL58" s="18"/>
      <c r="EM58" s="18"/>
      <c r="EN58" s="18"/>
      <c r="EO58" s="18"/>
      <c r="EP58" s="18"/>
      <c r="EQ58" s="18"/>
      <c r="ER58" s="18"/>
      <c r="ES58" s="18"/>
      <c r="ET58" s="18"/>
      <c r="EU58" s="18"/>
      <c r="EV58" s="18"/>
      <c r="EW58" s="18"/>
      <c r="GQ58" s="33">
        <f>-(BS69+(4*GX43))</f>
        <v>-1.9300000000000002</v>
      </c>
      <c r="GS58" s="33">
        <f>-BS69</f>
        <v>-1.838</v>
      </c>
    </row>
    <row r="59" spans="10:201" ht="15.75" customHeight="1">
      <c r="J59" s="87"/>
      <c r="Z59" s="98"/>
      <c r="AC59" s="120"/>
      <c r="AF59" s="4">
        <v>58</v>
      </c>
      <c r="AG59" s="4">
        <v>6</v>
      </c>
      <c r="AH59" s="4">
        <v>2</v>
      </c>
      <c r="AI59" s="4">
        <v>1</v>
      </c>
      <c r="AJ59" t="s">
        <v>1954</v>
      </c>
      <c r="AK59">
        <v>3</v>
      </c>
      <c r="AL59">
        <v>3</v>
      </c>
      <c r="AM59">
        <v>3</v>
      </c>
      <c r="AN59">
        <v>0.7</v>
      </c>
      <c r="AO59">
        <v>7</v>
      </c>
      <c r="AP59">
        <v>39</v>
      </c>
      <c r="AQ59">
        <v>3.8</v>
      </c>
      <c r="AS59" s="38">
        <f t="shared" si="28"/>
        <v>58</v>
      </c>
      <c r="AT59" s="25" t="b">
        <f t="shared" si="29"/>
        <v>0</v>
      </c>
      <c r="AU59" s="25" t="b">
        <f t="shared" si="30"/>
        <v>0</v>
      </c>
      <c r="AV59" s="25">
        <f t="shared" si="4"/>
        <v>58</v>
      </c>
      <c r="AW59" s="25" t="b">
        <f t="shared" si="5"/>
        <v>0</v>
      </c>
      <c r="BR59"/>
      <c r="BX59" s="39"/>
      <c r="CL59" s="44"/>
      <c r="EL59" s="18"/>
      <c r="EM59" s="18"/>
      <c r="EN59" s="18"/>
      <c r="EO59" s="18"/>
      <c r="EP59" s="18"/>
      <c r="EQ59" s="18"/>
      <c r="ER59" s="18"/>
      <c r="ES59" s="18"/>
      <c r="ET59" s="18"/>
      <c r="EU59" s="18"/>
      <c r="EV59" s="18"/>
      <c r="EW59" s="18"/>
      <c r="GQ59" s="25">
        <f>INT(GQ58)</f>
        <v>-2</v>
      </c>
      <c r="GS59" s="25">
        <f>INT(GS58)</f>
        <v>-2</v>
      </c>
    </row>
    <row r="60" spans="9:202" ht="15.75" customHeight="1">
      <c r="I60" s="5" t="str">
        <f>LOOKUP(H$27,J$2:AD$2,J60:AD60)</f>
        <v>D = thread diameter (mm)</v>
      </c>
      <c r="J60" s="87" t="s">
        <v>1231</v>
      </c>
      <c r="K60" s="51" t="s">
        <v>725</v>
      </c>
      <c r="L60" s="51" t="s">
        <v>1124</v>
      </c>
      <c r="M60" s="51" t="s">
        <v>958</v>
      </c>
      <c r="N60" s="34" t="s">
        <v>975</v>
      </c>
      <c r="O60" s="51" t="s">
        <v>1768</v>
      </c>
      <c r="P60" s="34" t="s">
        <v>434</v>
      </c>
      <c r="Q60" s="51" t="s">
        <v>1246</v>
      </c>
      <c r="R60" s="51" t="s">
        <v>1830</v>
      </c>
      <c r="S60" s="51" t="s">
        <v>1406</v>
      </c>
      <c r="T60" s="34" t="s">
        <v>1716</v>
      </c>
      <c r="U60" s="34" t="s">
        <v>379</v>
      </c>
      <c r="V60" s="34" t="s">
        <v>1469</v>
      </c>
      <c r="W60" s="34" t="s">
        <v>637</v>
      </c>
      <c r="X60" s="34" t="s">
        <v>109</v>
      </c>
      <c r="Y60" s="34" t="s">
        <v>679</v>
      </c>
      <c r="Z60" s="98" t="s">
        <v>1442</v>
      </c>
      <c r="AA60" s="112" t="s">
        <v>1673</v>
      </c>
      <c r="AB60" s="51" t="s">
        <v>371</v>
      </c>
      <c r="AC60" s="120" t="s">
        <v>103</v>
      </c>
      <c r="AD60" s="51" t="s">
        <v>134</v>
      </c>
      <c r="AF60" s="4">
        <v>59</v>
      </c>
      <c r="AG60" s="4">
        <v>6</v>
      </c>
      <c r="AH60" s="4">
        <v>2</v>
      </c>
      <c r="AI60" s="4">
        <v>1</v>
      </c>
      <c r="AJ60" t="s">
        <v>1955</v>
      </c>
      <c r="AK60">
        <v>3</v>
      </c>
      <c r="AL60">
        <v>3</v>
      </c>
      <c r="AM60">
        <v>3</v>
      </c>
      <c r="AN60">
        <v>0.7</v>
      </c>
      <c r="AO60">
        <v>10</v>
      </c>
      <c r="AP60">
        <v>39</v>
      </c>
      <c r="AQ60">
        <v>3.8</v>
      </c>
      <c r="AS60" s="38">
        <f t="shared" si="28"/>
        <v>59</v>
      </c>
      <c r="AT60" s="25" t="b">
        <f t="shared" si="29"/>
        <v>0</v>
      </c>
      <c r="AU60" s="25" t="b">
        <f t="shared" si="30"/>
        <v>0</v>
      </c>
      <c r="AV60" s="25">
        <f t="shared" si="4"/>
        <v>59</v>
      </c>
      <c r="AW60" s="25" t="b">
        <f t="shared" si="5"/>
        <v>0</v>
      </c>
      <c r="BQ60" s="33"/>
      <c r="BR60" s="33"/>
      <c r="BS60" s="33"/>
      <c r="BT60" s="33"/>
      <c r="BU60" s="33"/>
      <c r="BX60" s="39">
        <v>19</v>
      </c>
      <c r="BY60" s="45">
        <f>LOOKUP(BV$54,BZ$5:DJ$5,BZ60:DJ60)</f>
        <v>0</v>
      </c>
      <c r="BZ60" s="45"/>
      <c r="CD60" s="44" t="str">
        <f>CONCATENATE(BX60,DL100,DM100,DN100)</f>
        <v>19 CP IPA+90 IZ+0.375 DR+</v>
      </c>
      <c r="CE60" s="44" t="str">
        <f>CA24</f>
        <v>G01 G40 X-2. Y-2.</v>
      </c>
      <c r="CF60" s="44" t="str">
        <f>CD60</f>
        <v>19 CP IPA+90 IZ+0.375 DR+</v>
      </c>
      <c r="CI60" s="44" t="str">
        <f>CG42</f>
        <v>END1</v>
      </c>
      <c r="CJ60" s="44" t="str">
        <f>CONCATENATE(BX60,DL91,DM91,DN91)</f>
        <v>19 CC IX-4 IY+0</v>
      </c>
      <c r="CK60" s="4" t="str">
        <f>CE51</f>
        <v>G03 X2. Y2. Z0.375 I0. J2.</v>
      </c>
      <c r="CL60" s="44" t="str">
        <f>CONCATENATE(BX60,EL118,EM118,EN118)</f>
        <v>19 CC IX-3.676 IY+0</v>
      </c>
      <c r="CO60" s="44" t="str">
        <f>CO30</f>
        <v>#2=#2+1</v>
      </c>
      <c r="CP60" s="44" t="str">
        <f>CONCATENATE(BX60,DL85,DM85)</f>
        <v>19 CC IX+0 IY+2</v>
      </c>
      <c r="CQ60" s="44" t="str">
        <f>CQ30</f>
        <v>#2=#2+1</v>
      </c>
      <c r="CR60" s="152" t="str">
        <f>CONCATENATE(BX60,EL112,EM112)</f>
        <v>19 CC IX+0 IY+1.838</v>
      </c>
      <c r="CU60" s="44" t="str">
        <f>CS33</f>
        <v>G01 G40 X-2.092 Y-2.</v>
      </c>
      <c r="CV60" s="152" t="str">
        <f>CONCATENATE(BX60,DL82,DM82,DN82,DO82,DP82,DQ82)</f>
        <v>19 L IX+2 IY-2 RL F156</v>
      </c>
      <c r="CW60" s="44" t="str">
        <f>CONCATENATE(GN60,GO60,GP60,GQ60,GR60,GS60,GT60)</f>
        <v>G01 G40 X-1.93 Y-1.838</v>
      </c>
      <c r="CX60" s="152" t="str">
        <f>CONCATENATE(BX60,EL109,EM109,EN109,EO109,EP109,EQ109)</f>
        <v>19 L IX+1.838 IY-1.838 RL F147</v>
      </c>
      <c r="DA60" s="44" t="str">
        <f>CY24</f>
        <v>G03 X-2. C2. Z0.375 I-2. J0.</v>
      </c>
      <c r="DC60" s="44" t="str">
        <f>DB42</f>
        <v>#2=#2+1</v>
      </c>
      <c r="DD60" s="44" t="str">
        <f>DA51</f>
        <v>G01 G41 X2. C-2. F156</v>
      </c>
      <c r="DF60" s="44" t="str">
        <f>CZ39</f>
        <v>G03 X0. C0. Z3. I-4. J0.</v>
      </c>
      <c r="DG60" s="44" t="str">
        <f>DA39</f>
        <v>G03 X0. C0. Z3. I-3.676 J0.</v>
      </c>
      <c r="DI60" s="44" t="str">
        <f>DH33</f>
        <v>G03 X-2. C2. Z0.375 I-2. J0.</v>
      </c>
      <c r="DJ60" s="44" t="str">
        <f>DA42</f>
        <v>G03 X-1.838 C1.838 Z0.375 I-1.838 J0.</v>
      </c>
      <c r="EL60" s="18"/>
      <c r="EM60" s="18"/>
      <c r="EN60" s="18"/>
      <c r="EO60" s="18"/>
      <c r="EP60" s="18"/>
      <c r="EQ60" s="18"/>
      <c r="ER60" s="18"/>
      <c r="ES60" s="18"/>
      <c r="ET60" s="18"/>
      <c r="EU60" s="18"/>
      <c r="EV60" s="18"/>
      <c r="EW60" s="18"/>
      <c r="GM60" s="49">
        <v>19</v>
      </c>
      <c r="GN60" s="33" t="s">
        <v>582</v>
      </c>
      <c r="GO60" s="33" t="s">
        <v>576</v>
      </c>
      <c r="GP60" s="33" t="s">
        <v>584</v>
      </c>
      <c r="GQ60" s="18" t="str">
        <f>SUBSTITUTE(GQ58,",",".")</f>
        <v>-1.93</v>
      </c>
      <c r="GR60" s="18" t="str">
        <f>IF(GQ58=GQ59,". Y"," Y")</f>
        <v> Y</v>
      </c>
      <c r="GS60" s="18" t="str">
        <f>SUBSTITUTE(GS58,",",".")</f>
        <v>-1.838</v>
      </c>
      <c r="GT60" s="18">
        <f>IF(GS58=GS59,".","")</f>
      </c>
    </row>
    <row r="61" spans="9:153" ht="15.75" customHeight="1">
      <c r="I61" s="5" t="str">
        <f>LOOKUP(H$27,J$2:AD$2,J61:AD61)</f>
        <v>P = pitch (mm)</v>
      </c>
      <c r="J61" s="87" t="s">
        <v>700</v>
      </c>
      <c r="K61" s="51" t="s">
        <v>923</v>
      </c>
      <c r="L61" s="51" t="s">
        <v>1255</v>
      </c>
      <c r="M61" s="51" t="s">
        <v>983</v>
      </c>
      <c r="N61" s="34" t="s">
        <v>976</v>
      </c>
      <c r="O61" s="51" t="s">
        <v>1769</v>
      </c>
      <c r="P61" s="34" t="s">
        <v>435</v>
      </c>
      <c r="Q61" s="51" t="s">
        <v>1247</v>
      </c>
      <c r="R61" s="51" t="s">
        <v>1831</v>
      </c>
      <c r="S61" s="51" t="s">
        <v>1407</v>
      </c>
      <c r="T61" s="34" t="s">
        <v>1717</v>
      </c>
      <c r="U61" s="34" t="s">
        <v>380</v>
      </c>
      <c r="V61" s="34" t="s">
        <v>1291</v>
      </c>
      <c r="W61" s="34" t="s">
        <v>719</v>
      </c>
      <c r="X61" s="34" t="s">
        <v>49</v>
      </c>
      <c r="Y61" s="34" t="s">
        <v>700</v>
      </c>
      <c r="Z61" s="98" t="s">
        <v>1443</v>
      </c>
      <c r="AA61" s="112" t="s">
        <v>1674</v>
      </c>
      <c r="AB61" s="51" t="s">
        <v>372</v>
      </c>
      <c r="AC61" s="120" t="s">
        <v>104</v>
      </c>
      <c r="AD61" s="51" t="s">
        <v>1455</v>
      </c>
      <c r="AF61" s="4">
        <v>60</v>
      </c>
      <c r="AG61" s="4">
        <v>6</v>
      </c>
      <c r="AH61" s="4">
        <v>2</v>
      </c>
      <c r="AI61" s="4">
        <v>1</v>
      </c>
      <c r="AJ61" t="s">
        <v>1956</v>
      </c>
      <c r="AK61">
        <v>3</v>
      </c>
      <c r="AL61">
        <v>2.6</v>
      </c>
      <c r="AM61">
        <v>3</v>
      </c>
      <c r="AN61">
        <v>0.6</v>
      </c>
      <c r="AO61">
        <v>8.5</v>
      </c>
      <c r="AP61">
        <v>39</v>
      </c>
      <c r="AQ61">
        <v>3.3</v>
      </c>
      <c r="AS61" s="38">
        <f t="shared" si="28"/>
        <v>60</v>
      </c>
      <c r="AT61" s="25" t="b">
        <f t="shared" si="29"/>
        <v>0</v>
      </c>
      <c r="AU61" s="25" t="b">
        <f t="shared" si="30"/>
        <v>0</v>
      </c>
      <c r="AV61" s="25">
        <f t="shared" si="4"/>
        <v>60</v>
      </c>
      <c r="AW61" s="25" t="b">
        <f t="shared" si="5"/>
        <v>0</v>
      </c>
      <c r="BQ61" s="7" t="s">
        <v>670</v>
      </c>
      <c r="BR61" s="7" t="s">
        <v>849</v>
      </c>
      <c r="BS61" s="7" t="s">
        <v>577</v>
      </c>
      <c r="BT61" s="7" t="s">
        <v>926</v>
      </c>
      <c r="BU61" s="7" t="s">
        <v>927</v>
      </c>
      <c r="BX61" s="39"/>
      <c r="CL61" s="44"/>
      <c r="EL61" s="18"/>
      <c r="EM61" s="18"/>
      <c r="EN61" s="18"/>
      <c r="EO61" s="18"/>
      <c r="EP61" s="18"/>
      <c r="EQ61" s="18"/>
      <c r="ER61" s="18"/>
      <c r="ES61" s="18"/>
      <c r="ET61" s="18"/>
      <c r="EU61" s="18"/>
      <c r="EV61" s="18"/>
      <c r="EW61" s="18"/>
    </row>
    <row r="62" spans="9:153" ht="15.75" customHeight="1">
      <c r="I62" s="5" t="str">
        <f>LOOKUP(H$27,J$2:AD$2,J62:AD62)</f>
        <v>P = pitch (TPI)</v>
      </c>
      <c r="J62" s="87" t="s">
        <v>1232</v>
      </c>
      <c r="K62" s="34" t="s">
        <v>998</v>
      </c>
      <c r="L62" s="34" t="s">
        <v>1256</v>
      </c>
      <c r="M62" s="34" t="s">
        <v>984</v>
      </c>
      <c r="N62" s="34" t="s">
        <v>977</v>
      </c>
      <c r="O62" s="34" t="s">
        <v>1770</v>
      </c>
      <c r="P62" s="34" t="s">
        <v>436</v>
      </c>
      <c r="Q62" s="34" t="s">
        <v>1248</v>
      </c>
      <c r="R62" s="34" t="s">
        <v>1832</v>
      </c>
      <c r="S62" s="34" t="s">
        <v>1480</v>
      </c>
      <c r="T62" s="34" t="s">
        <v>783</v>
      </c>
      <c r="U62" s="34" t="s">
        <v>381</v>
      </c>
      <c r="V62" s="34" t="s">
        <v>1154</v>
      </c>
      <c r="W62" s="34" t="s">
        <v>642</v>
      </c>
      <c r="X62" s="34" t="s">
        <v>110</v>
      </c>
      <c r="Y62" s="34" t="s">
        <v>783</v>
      </c>
      <c r="Z62" s="98" t="s">
        <v>1622</v>
      </c>
      <c r="AA62" s="112" t="s">
        <v>1675</v>
      </c>
      <c r="AB62" s="34" t="s">
        <v>373</v>
      </c>
      <c r="AC62" s="120" t="s">
        <v>105</v>
      </c>
      <c r="AD62" s="51" t="s">
        <v>1456</v>
      </c>
      <c r="AF62" s="4">
        <v>61</v>
      </c>
      <c r="AG62" s="4">
        <v>6</v>
      </c>
      <c r="AH62" s="4">
        <v>2</v>
      </c>
      <c r="AI62" s="4">
        <v>1</v>
      </c>
      <c r="AJ62" t="s">
        <v>1957</v>
      </c>
      <c r="AK62">
        <v>3</v>
      </c>
      <c r="AL62">
        <v>2.6</v>
      </c>
      <c r="AM62">
        <v>3</v>
      </c>
      <c r="AN62">
        <v>0.6</v>
      </c>
      <c r="AO62">
        <v>6</v>
      </c>
      <c r="AP62">
        <v>39</v>
      </c>
      <c r="AQ62">
        <v>3.3</v>
      </c>
      <c r="AS62" s="38">
        <f t="shared" si="28"/>
        <v>61</v>
      </c>
      <c r="AT62" s="25" t="b">
        <f t="shared" si="29"/>
        <v>0</v>
      </c>
      <c r="AU62" s="25" t="b">
        <f t="shared" si="30"/>
        <v>0</v>
      </c>
      <c r="AV62" s="25">
        <f t="shared" si="4"/>
        <v>61</v>
      </c>
      <c r="AW62" s="25" t="b">
        <f t="shared" si="5"/>
        <v>0</v>
      </c>
      <c r="BL62" s="7" t="s">
        <v>906</v>
      </c>
      <c r="BM62" s="27">
        <f>IF(D23&gt;0,D23,C23)</f>
        <v>40.5</v>
      </c>
      <c r="BQ62" s="25">
        <v>1</v>
      </c>
      <c r="BR62" s="25">
        <f>ROUND(C14-(2*0.33*BE51),2)</f>
        <v>22.93</v>
      </c>
      <c r="BS62" s="40">
        <f>ROUND((BR62-BG$13)/4,3)</f>
        <v>1.733</v>
      </c>
      <c r="BT62" s="25">
        <f>ROUND(C$30*(BR62-BG$13)/BR62,0)</f>
        <v>141</v>
      </c>
      <c r="BU62" s="29">
        <f>278*BR62/C$30</f>
        <v>13.649978586723769</v>
      </c>
      <c r="CL62" s="44"/>
      <c r="EL62" s="18"/>
      <c r="EM62" s="18"/>
      <c r="EN62" s="18"/>
      <c r="EO62" s="18"/>
      <c r="EP62" s="18"/>
      <c r="EQ62" s="18"/>
      <c r="ER62" s="18"/>
      <c r="ES62" s="18"/>
      <c r="ET62" s="18"/>
      <c r="EU62" s="18"/>
      <c r="EV62" s="18"/>
      <c r="EW62" s="18"/>
    </row>
    <row r="63" spans="9:219" ht="15.75" customHeight="1">
      <c r="I63" s="5" t="str">
        <f>LOOKUP(H$27,J$2:AD$2,J63:AD63)</f>
        <v>L = thread length (mm)</v>
      </c>
      <c r="J63" s="87" t="s">
        <v>1233</v>
      </c>
      <c r="K63" s="51" t="s">
        <v>625</v>
      </c>
      <c r="L63" s="51" t="s">
        <v>1257</v>
      </c>
      <c r="M63" s="51" t="s">
        <v>1150</v>
      </c>
      <c r="N63" s="34" t="s">
        <v>875</v>
      </c>
      <c r="O63" s="51" t="s">
        <v>1771</v>
      </c>
      <c r="P63" s="34" t="s">
        <v>526</v>
      </c>
      <c r="Q63" s="51" t="s">
        <v>1249</v>
      </c>
      <c r="R63" s="51" t="s">
        <v>1833</v>
      </c>
      <c r="S63" s="51" t="s">
        <v>1481</v>
      </c>
      <c r="T63" s="34" t="s">
        <v>1718</v>
      </c>
      <c r="U63" s="34" t="s">
        <v>382</v>
      </c>
      <c r="V63" s="34" t="s">
        <v>1211</v>
      </c>
      <c r="W63" s="34" t="s">
        <v>643</v>
      </c>
      <c r="X63" s="34" t="s">
        <v>111</v>
      </c>
      <c r="Y63" s="34" t="s">
        <v>756</v>
      </c>
      <c r="Z63" s="98" t="s">
        <v>1623</v>
      </c>
      <c r="AA63" s="112" t="s">
        <v>1676</v>
      </c>
      <c r="AB63" s="51" t="s">
        <v>477</v>
      </c>
      <c r="AC63" s="120" t="s">
        <v>229</v>
      </c>
      <c r="AD63" s="51" t="s">
        <v>135</v>
      </c>
      <c r="AF63" s="4">
        <v>62</v>
      </c>
      <c r="AG63" s="4">
        <v>6</v>
      </c>
      <c r="AH63" s="4">
        <v>2</v>
      </c>
      <c r="AI63" s="4">
        <v>1</v>
      </c>
      <c r="AJ63" t="s">
        <v>1958</v>
      </c>
      <c r="AK63">
        <v>3</v>
      </c>
      <c r="AL63">
        <v>2.3</v>
      </c>
      <c r="AM63">
        <v>3</v>
      </c>
      <c r="AN63">
        <v>0.5</v>
      </c>
      <c r="AO63">
        <v>7.3</v>
      </c>
      <c r="AP63">
        <v>39</v>
      </c>
      <c r="AQ63">
        <v>2.8</v>
      </c>
      <c r="AS63" s="38">
        <f t="shared" si="28"/>
        <v>62</v>
      </c>
      <c r="AT63" s="25" t="b">
        <f t="shared" si="29"/>
        <v>0</v>
      </c>
      <c r="AU63" s="25" t="b">
        <f t="shared" si="30"/>
        <v>0</v>
      </c>
      <c r="AV63" s="25">
        <f t="shared" si="4"/>
        <v>62</v>
      </c>
      <c r="AW63" s="25" t="b">
        <f t="shared" si="5"/>
        <v>0</v>
      </c>
      <c r="BL63" s="7" t="s">
        <v>671</v>
      </c>
      <c r="BM63" s="28">
        <f>BM62/C16</f>
        <v>1.125</v>
      </c>
      <c r="BQ63" s="25">
        <v>2</v>
      </c>
      <c r="BR63" s="25">
        <f>C14</f>
        <v>24</v>
      </c>
      <c r="BS63" s="40">
        <f>ROUND((BR63-BG$13)/4,3)</f>
        <v>2</v>
      </c>
      <c r="BT63" s="25">
        <f>ROUND(C$30*(BR63-BG$13)/BR63,0)</f>
        <v>156</v>
      </c>
      <c r="BU63" s="29">
        <f>278*BR63/C$30</f>
        <v>14.286937901498929</v>
      </c>
      <c r="BX63" s="39">
        <v>20</v>
      </c>
      <c r="BY63" s="45">
        <f>LOOKUP(BV$54,BZ$5:DJ$5,BZ63:DJ63)</f>
        <v>0</v>
      </c>
      <c r="BZ63" s="45"/>
      <c r="CD63" s="44" t="str">
        <f>CONCATENATE(BX63,DL103,DM103,DN103,DO103,DP103)</f>
        <v>20 L IX-2 IY-2 R0</v>
      </c>
      <c r="CE63" s="44" t="str">
        <f>CA27</f>
        <v>G00 Z34.25</v>
      </c>
      <c r="CF63" s="44" t="str">
        <f>CONCATENATE(BX63,EL130,EM130,EN130,EO130,EP130)</f>
        <v>20 L IX-1.838 IY-1.838 R0</v>
      </c>
      <c r="CI63" s="44" t="str">
        <f>CG45</f>
        <v>G00 Z-1.</v>
      </c>
      <c r="CJ63" s="44" t="str">
        <f>CONCATENATE(BX63,DL94,DM94,DN94)</f>
        <v>20 CP IPA+360 IZ+3 DR+</v>
      </c>
      <c r="CK63" s="4" t="str">
        <f>CE54</f>
        <v>G03 X0. Y0. Z3. I-4. J0.</v>
      </c>
      <c r="CL63" s="44" t="str">
        <f>CONCATENATE(BX63,DL94,DM94,DN94)</f>
        <v>20 CP IPA+360 IZ+3 DR+</v>
      </c>
      <c r="CO63" s="44" t="str">
        <f>CONCATENATE(FI63)</f>
        <v>END2</v>
      </c>
      <c r="CP63" s="44" t="str">
        <f>CONCATENATE(BX63,DL88,DM88,DN88)</f>
        <v>20 CP IPA+90 IZ+0.375 DR+</v>
      </c>
      <c r="CQ63" s="44" t="str">
        <f>CO63</f>
        <v>END2</v>
      </c>
      <c r="CR63" s="152" t="str">
        <f>CP63</f>
        <v>20 CP IPA+90 IZ+0.375 DR+</v>
      </c>
      <c r="CU63" s="44" t="str">
        <f>CS36</f>
        <v>G00 Z34.25</v>
      </c>
      <c r="CV63" s="152" t="str">
        <f>CONCATENATE(BX63,DL85,DM85)</f>
        <v>20 CC IX+0 IY+2</v>
      </c>
      <c r="CW63" s="44" t="str">
        <f>CE27</f>
        <v>G00 Z-3.75</v>
      </c>
      <c r="CX63" s="152" t="str">
        <f>CONCATENATE(BX63,EL112,EM112)</f>
        <v>20 CC IX+0 IY+1.838</v>
      </c>
      <c r="DA63" s="44" t="str">
        <f>CY27</f>
        <v>G01 G40 X-2. C-2.</v>
      </c>
      <c r="DC63" s="44" t="str">
        <f>DB45</f>
        <v>END1</v>
      </c>
      <c r="DD63" s="44" t="str">
        <f>DA54</f>
        <v>G03 X2. C2. Z0.375 I0. J2.</v>
      </c>
      <c r="DF63" s="44" t="str">
        <f>CO60</f>
        <v>#2=#2+1</v>
      </c>
      <c r="DG63" s="44" t="str">
        <f>DF63</f>
        <v>#2=#2+1</v>
      </c>
      <c r="DI63" s="44" t="str">
        <f>DH36</f>
        <v>G01 G40 X-2.092 C-2.</v>
      </c>
      <c r="DJ63" s="44" t="str">
        <f>CONCATENATE(GN60,GO60,GP60,GQ60,HK63,GS60,GT60)</f>
        <v>G01 G40 X-1.93 C-1.838</v>
      </c>
      <c r="EL63" s="18"/>
      <c r="EM63" s="18"/>
      <c r="EN63" s="18"/>
      <c r="EO63" s="18"/>
      <c r="EP63" s="18"/>
      <c r="EQ63" s="18"/>
      <c r="ER63" s="18"/>
      <c r="ES63" s="18"/>
      <c r="ET63" s="18"/>
      <c r="EU63" s="18"/>
      <c r="EV63" s="18"/>
      <c r="EW63" s="18"/>
      <c r="FH63" s="49">
        <v>20</v>
      </c>
      <c r="FI63" s="18" t="s">
        <v>988</v>
      </c>
      <c r="HJ63" s="49">
        <v>20</v>
      </c>
      <c r="HK63" s="33" t="str">
        <f>IF(GQ58=GQ59,". C"," C")</f>
        <v> C</v>
      </c>
    </row>
    <row r="64" spans="9:153" ht="15.75" customHeight="1">
      <c r="I64" s="5" t="str">
        <f>LOOKUP(H$27,J$2:AD$2,J64:AD64)</f>
        <v>S = safety distance (mm)</v>
      </c>
      <c r="J64" s="87" t="s">
        <v>1235</v>
      </c>
      <c r="K64" s="51" t="s">
        <v>1016</v>
      </c>
      <c r="L64" s="51" t="s">
        <v>1236</v>
      </c>
      <c r="M64" s="51" t="s">
        <v>1151</v>
      </c>
      <c r="N64" s="34" t="s">
        <v>784</v>
      </c>
      <c r="O64" s="51" t="s">
        <v>1772</v>
      </c>
      <c r="P64" s="34" t="s">
        <v>527</v>
      </c>
      <c r="Q64" s="51" t="s">
        <v>1250</v>
      </c>
      <c r="R64" s="51" t="s">
        <v>1834</v>
      </c>
      <c r="S64" s="51" t="s">
        <v>1482</v>
      </c>
      <c r="T64" s="34" t="s">
        <v>1719</v>
      </c>
      <c r="U64" s="34" t="s">
        <v>295</v>
      </c>
      <c r="V64" s="34" t="s">
        <v>1212</v>
      </c>
      <c r="W64" s="34" t="s">
        <v>761</v>
      </c>
      <c r="X64" s="34" t="s">
        <v>112</v>
      </c>
      <c r="Y64" s="34" t="s">
        <v>561</v>
      </c>
      <c r="Z64" s="98" t="s">
        <v>1624</v>
      </c>
      <c r="AA64" s="112" t="s">
        <v>1473</v>
      </c>
      <c r="AB64" s="51" t="s">
        <v>478</v>
      </c>
      <c r="AC64" s="120" t="s">
        <v>230</v>
      </c>
      <c r="AD64" s="51" t="s">
        <v>256</v>
      </c>
      <c r="AF64" s="4">
        <v>63</v>
      </c>
      <c r="AG64" s="4">
        <v>6</v>
      </c>
      <c r="AH64" s="4">
        <v>2</v>
      </c>
      <c r="AI64" s="4">
        <v>1</v>
      </c>
      <c r="AJ64" t="s">
        <v>1959</v>
      </c>
      <c r="AK64">
        <v>3</v>
      </c>
      <c r="AL64">
        <v>2.3</v>
      </c>
      <c r="AM64">
        <v>3</v>
      </c>
      <c r="AN64">
        <v>0.5</v>
      </c>
      <c r="AO64">
        <v>5</v>
      </c>
      <c r="AP64">
        <v>39</v>
      </c>
      <c r="AQ64">
        <v>2.8</v>
      </c>
      <c r="AS64" s="38">
        <f t="shared" si="28"/>
        <v>63</v>
      </c>
      <c r="AT64" s="25" t="b">
        <f t="shared" si="29"/>
        <v>0</v>
      </c>
      <c r="AU64" s="25" t="b">
        <f t="shared" si="30"/>
        <v>0</v>
      </c>
      <c r="AV64" s="25">
        <f t="shared" si="4"/>
        <v>63</v>
      </c>
      <c r="AW64" s="25" t="b">
        <f t="shared" si="5"/>
        <v>0</v>
      </c>
      <c r="BL64" s="7" t="s">
        <v>885</v>
      </c>
      <c r="BM64" s="28">
        <f>LOOKUP(BM63,BL67:BL99,BM67:BM99)</f>
        <v>1</v>
      </c>
      <c r="BQ64" s="25"/>
      <c r="BS64" s="25"/>
      <c r="BT64" s="25"/>
      <c r="BU64" s="42">
        <f>ROUND(BU62+BU63,0)</f>
        <v>28</v>
      </c>
      <c r="CL64" s="44"/>
      <c r="EL64" s="18"/>
      <c r="EM64" s="18"/>
      <c r="EN64" s="18"/>
      <c r="EO64" s="18"/>
      <c r="EP64" s="18"/>
      <c r="EQ64" s="18"/>
      <c r="ER64" s="18"/>
      <c r="ES64" s="18"/>
      <c r="ET64" s="18"/>
      <c r="EU64" s="18"/>
      <c r="EV64" s="18"/>
      <c r="EW64" s="18"/>
    </row>
    <row r="65" spans="9:152" ht="15.75" customHeight="1">
      <c r="I65" s="51"/>
      <c r="J65" s="87"/>
      <c r="K65" s="51"/>
      <c r="Z65" s="98"/>
      <c r="AC65" s="120"/>
      <c r="AF65" s="4">
        <v>64</v>
      </c>
      <c r="AG65" s="4">
        <v>6</v>
      </c>
      <c r="AH65" s="4">
        <v>2</v>
      </c>
      <c r="AI65" s="4">
        <v>1</v>
      </c>
      <c r="AJ65" t="s">
        <v>1960</v>
      </c>
      <c r="AK65">
        <v>3</v>
      </c>
      <c r="AL65">
        <v>1.9</v>
      </c>
      <c r="AM65">
        <v>3</v>
      </c>
      <c r="AN65">
        <v>0.45</v>
      </c>
      <c r="AO65">
        <v>6.1</v>
      </c>
      <c r="AP65">
        <v>39</v>
      </c>
      <c r="AQ65">
        <v>2.3</v>
      </c>
      <c r="AS65" s="38">
        <f t="shared" si="28"/>
        <v>64</v>
      </c>
      <c r="AT65" s="25" t="b">
        <f t="shared" si="29"/>
        <v>0</v>
      </c>
      <c r="AU65" s="25" t="b">
        <f t="shared" si="30"/>
        <v>0</v>
      </c>
      <c r="AV65" s="25">
        <f t="shared" si="4"/>
        <v>64</v>
      </c>
      <c r="AW65" s="25" t="b">
        <f t="shared" si="5"/>
        <v>0</v>
      </c>
      <c r="BL65" s="7" t="s">
        <v>924</v>
      </c>
      <c r="BM65" s="30">
        <f>BM58*BM64</f>
        <v>0.6133643240924365</v>
      </c>
      <c r="BQ65" s="33"/>
      <c r="BR65" s="33"/>
      <c r="BS65" s="33"/>
      <c r="BT65" s="33"/>
      <c r="BU65" s="33"/>
      <c r="CL65" s="44"/>
      <c r="EL65" s="25"/>
      <c r="EM65" s="25"/>
      <c r="EN65" s="25"/>
      <c r="EO65" s="25"/>
      <c r="EP65" s="25"/>
      <c r="EQ65" s="25"/>
      <c r="ER65" s="25"/>
      <c r="ES65" s="25"/>
      <c r="ET65" s="25"/>
      <c r="EU65" s="25"/>
      <c r="EV65" s="25"/>
    </row>
    <row r="66" spans="9:114" ht="15.75" customHeight="1">
      <c r="I66" s="51"/>
      <c r="J66" s="87"/>
      <c r="K66" s="51"/>
      <c r="M66" s="51"/>
      <c r="S66" s="51"/>
      <c r="Z66" s="98"/>
      <c r="AC66" s="120"/>
      <c r="AF66" s="4">
        <v>65</v>
      </c>
      <c r="AG66" s="4">
        <v>6</v>
      </c>
      <c r="AH66" s="4">
        <v>2</v>
      </c>
      <c r="AI66" s="4">
        <v>1</v>
      </c>
      <c r="AJ66" t="s">
        <v>1961</v>
      </c>
      <c r="AK66">
        <v>3</v>
      </c>
      <c r="AL66">
        <v>1.9</v>
      </c>
      <c r="AM66">
        <v>3</v>
      </c>
      <c r="AN66">
        <v>0.45</v>
      </c>
      <c r="AO66">
        <v>4.2</v>
      </c>
      <c r="AP66">
        <v>39</v>
      </c>
      <c r="AQ66">
        <v>2.3</v>
      </c>
      <c r="AS66" s="38">
        <f aca="true" t="shared" si="37" ref="AS66:AS97">IF(C$14&gt;=AQ66,AF66)</f>
        <v>65</v>
      </c>
      <c r="AT66" s="25" t="b">
        <f aca="true" t="shared" si="38" ref="AT66:AT97">IF(C$15=AN66,AF66)</f>
        <v>0</v>
      </c>
      <c r="AU66" s="25" t="b">
        <f aca="true" t="shared" si="39" ref="AU66:AU97">IF(C$16&lt;=AO66,AF66)</f>
        <v>0</v>
      </c>
      <c r="AV66" s="25">
        <f t="shared" si="4"/>
        <v>65</v>
      </c>
      <c r="AW66" s="25" t="b">
        <f t="shared" si="5"/>
        <v>0</v>
      </c>
      <c r="BR66"/>
      <c r="BX66" s="39">
        <v>21</v>
      </c>
      <c r="BY66" s="45">
        <f>LOOKUP(BV$54,BZ$5:DJ$5,BZ66:DJ66)</f>
        <v>0</v>
      </c>
      <c r="BZ66" s="45"/>
      <c r="CD66" s="44" t="str">
        <f>CONCATENATE(BX66,DL106,DM106,DN106)</f>
        <v>21 L IZ+34.25 FMAX</v>
      </c>
      <c r="CF66" s="44" t="str">
        <f>CONCATENATE(BX66,EL133,EM133,EN133)</f>
        <v>21 L IZ-3.75 FMAX</v>
      </c>
      <c r="CJ66" s="44" t="str">
        <f>CONCATENATE(BX66,DL97,DM97,DN97)</f>
        <v>21 CC IX-2 IY+0</v>
      </c>
      <c r="CK66" s="4" t="str">
        <f>CE57</f>
        <v>G03 X-2. Y2. Z0.375 I-2. J0.</v>
      </c>
      <c r="CL66" s="44" t="str">
        <f>CONCATENATE(BX66,EL124,EM124,EN124)</f>
        <v>21 CC IX-1.838 IY+0</v>
      </c>
      <c r="CO66" s="44" t="str">
        <f>CC39</f>
        <v>G03 X-2. Y2. Z0.375 I-2. J0.</v>
      </c>
      <c r="CP66" s="44" t="str">
        <f>CONCATENATE(BX66,EY85)</f>
        <v>21 FN 0: Q2 =+0</v>
      </c>
      <c r="CQ66" s="44" t="str">
        <f>CE39</f>
        <v>G03 X-1.838 Y1.838 Z0.375 I-1.838 J0.</v>
      </c>
      <c r="CR66" s="152" t="str">
        <f>CP66</f>
        <v>21 FN 0: Q2 =+0</v>
      </c>
      <c r="CV66" s="152" t="str">
        <f>CONCATENATE(BX66,DL88,DM88,DN88)</f>
        <v>21 CP IPA+90 IZ+0.375 DR+</v>
      </c>
      <c r="CW66" s="44" t="str">
        <f>CS12</f>
        <v>G01 G41 X2. Y-2. F156</v>
      </c>
      <c r="CX66" s="152" t="str">
        <f>CV66</f>
        <v>21 CP IPA+90 IZ+0.375 DR+</v>
      </c>
      <c r="DA66" s="44" t="str">
        <f>CY30</f>
        <v>G13.1</v>
      </c>
      <c r="DC66" s="44" t="str">
        <f>DB48</f>
        <v>G13.1</v>
      </c>
      <c r="DD66" s="44" t="str">
        <f>DA57</f>
        <v>G03 X0. C0. Z3. I-4. J0.</v>
      </c>
      <c r="DF66" s="44" t="str">
        <f>CO63</f>
        <v>END2</v>
      </c>
      <c r="DG66" s="44" t="str">
        <f>DF66</f>
        <v>END2</v>
      </c>
      <c r="DI66" s="44" t="str">
        <f>DH39</f>
        <v>G13.1</v>
      </c>
      <c r="DJ66" s="44" t="str">
        <f>DA30</f>
        <v>G00 Z-3.75</v>
      </c>
    </row>
    <row r="67" spans="10:159" ht="15.75" customHeight="1">
      <c r="J67" s="87"/>
      <c r="Z67" s="98"/>
      <c r="AC67" s="120"/>
      <c r="AF67" s="4">
        <v>66</v>
      </c>
      <c r="AG67" s="4">
        <v>6</v>
      </c>
      <c r="AH67" s="4">
        <v>2</v>
      </c>
      <c r="AI67" s="4">
        <v>1</v>
      </c>
      <c r="AJ67" t="s">
        <v>1962</v>
      </c>
      <c r="AK67">
        <v>3</v>
      </c>
      <c r="AL67">
        <v>1.6</v>
      </c>
      <c r="AM67">
        <v>3</v>
      </c>
      <c r="AN67">
        <v>0.45</v>
      </c>
      <c r="AO67">
        <v>5.4</v>
      </c>
      <c r="AP67">
        <v>39</v>
      </c>
      <c r="AQ67">
        <v>2</v>
      </c>
      <c r="AS67" s="38">
        <f t="shared" si="37"/>
        <v>66</v>
      </c>
      <c r="AT67" s="25" t="b">
        <f t="shared" si="38"/>
        <v>0</v>
      </c>
      <c r="AU67" s="25" t="b">
        <f t="shared" si="39"/>
        <v>0</v>
      </c>
      <c r="AV67" s="25">
        <f aca="true" t="shared" si="40" ref="AV67:AV130">IF(AI67=BN$10,AF67)</f>
        <v>66</v>
      </c>
      <c r="AW67" s="25" t="b">
        <f aca="true" t="shared" si="41" ref="AW67:AW130">IF(AS67=FALSE,FALSE,IF(AT67=FALSE,FALSE,IF(AU67=FALSE,FALSE,IF(AV67=FALSE,FALSE,AF67))))</f>
        <v>0</v>
      </c>
      <c r="BL67" s="28">
        <v>0.03</v>
      </c>
      <c r="BM67" s="28">
        <v>0.5</v>
      </c>
      <c r="BQ67" s="7" t="s">
        <v>670</v>
      </c>
      <c r="BR67" s="7" t="s">
        <v>849</v>
      </c>
      <c r="BS67" s="7" t="s">
        <v>577</v>
      </c>
      <c r="BT67" s="7" t="s">
        <v>926</v>
      </c>
      <c r="BU67" s="7" t="s">
        <v>927</v>
      </c>
      <c r="BX67" s="39"/>
      <c r="CL67" s="44"/>
      <c r="FC67" s="49"/>
    </row>
    <row r="68" spans="9:159" ht="15.75" customHeight="1">
      <c r="I68" s="5" t="str">
        <f>LOOKUP(H$27,J$2:AD$2,J68:AD68)</f>
        <v>d = cutter diameter (mm)</v>
      </c>
      <c r="J68" s="87" t="s">
        <v>1191</v>
      </c>
      <c r="K68" s="51" t="s">
        <v>910</v>
      </c>
      <c r="L68" s="51" t="s">
        <v>1237</v>
      </c>
      <c r="M68" s="51" t="s">
        <v>909</v>
      </c>
      <c r="N68" s="34" t="s">
        <v>864</v>
      </c>
      <c r="O68" s="51" t="s">
        <v>1773</v>
      </c>
      <c r="P68" s="34" t="s">
        <v>528</v>
      </c>
      <c r="Q68" s="51" t="s">
        <v>1251</v>
      </c>
      <c r="R68" s="51" t="s">
        <v>1835</v>
      </c>
      <c r="S68" s="51" t="s">
        <v>1483</v>
      </c>
      <c r="T68" s="34" t="s">
        <v>1720</v>
      </c>
      <c r="U68" s="34" t="s">
        <v>296</v>
      </c>
      <c r="V68" s="34" t="s">
        <v>1213</v>
      </c>
      <c r="W68" s="34" t="s">
        <v>762</v>
      </c>
      <c r="X68" s="34" t="s">
        <v>113</v>
      </c>
      <c r="Y68" s="34" t="s">
        <v>780</v>
      </c>
      <c r="Z68" s="98" t="s">
        <v>1444</v>
      </c>
      <c r="AA68" s="34" t="s">
        <v>1677</v>
      </c>
      <c r="AB68" s="51" t="s">
        <v>479</v>
      </c>
      <c r="AC68" s="120" t="s">
        <v>231</v>
      </c>
      <c r="AD68" s="51" t="s">
        <v>257</v>
      </c>
      <c r="AF68" s="4">
        <v>67</v>
      </c>
      <c r="AG68" s="4">
        <v>6</v>
      </c>
      <c r="AH68" s="4">
        <v>2</v>
      </c>
      <c r="AI68" s="4">
        <v>1</v>
      </c>
      <c r="AJ68" t="s">
        <v>1963</v>
      </c>
      <c r="AK68">
        <v>3</v>
      </c>
      <c r="AL68">
        <v>1.6</v>
      </c>
      <c r="AM68">
        <v>3</v>
      </c>
      <c r="AN68">
        <v>0.45</v>
      </c>
      <c r="AO68">
        <v>3.8</v>
      </c>
      <c r="AP68">
        <v>39</v>
      </c>
      <c r="AQ68">
        <v>2</v>
      </c>
      <c r="AS68" s="38">
        <f t="shared" si="37"/>
        <v>67</v>
      </c>
      <c r="AT68" s="25" t="b">
        <f t="shared" si="38"/>
        <v>0</v>
      </c>
      <c r="AU68" s="25" t="b">
        <f t="shared" si="39"/>
        <v>0</v>
      </c>
      <c r="AV68" s="25">
        <f t="shared" si="40"/>
        <v>67</v>
      </c>
      <c r="AW68" s="25" t="b">
        <f t="shared" si="41"/>
        <v>0</v>
      </c>
      <c r="BL68" s="28">
        <v>0.25</v>
      </c>
      <c r="BM68" s="28">
        <f aca="true" t="shared" si="42" ref="BM68:BM82">BM69*0.97</f>
        <v>0.6332511891367892</v>
      </c>
      <c r="BQ68" s="25">
        <v>1</v>
      </c>
      <c r="BR68" s="25">
        <f>ROUND(C14-(2*0.5*BE51),2)</f>
        <v>22.38</v>
      </c>
      <c r="BS68" s="40">
        <f>ROUND((BR68-BG$13)/4,3)</f>
        <v>1.595</v>
      </c>
      <c r="BT68" s="25">
        <f>ROUND(C$30*(BR68-BG$13)/BR68,0)</f>
        <v>133</v>
      </c>
      <c r="BU68" s="29">
        <f>278*BR68/C$30</f>
        <v>13.322569593147751</v>
      </c>
      <c r="CL68" s="44"/>
      <c r="FC68" s="47"/>
    </row>
    <row r="69" spans="9:159" ht="15.75" customHeight="1">
      <c r="I69" s="5" t="str">
        <f aca="true" t="shared" si="43" ref="I69:I78">LOOKUP(H$27,J$2:AD$2,J69:AD69)</f>
        <v>l = length of cutting edge (mm)</v>
      </c>
      <c r="J69" s="87" t="s">
        <v>1105</v>
      </c>
      <c r="K69" s="34" t="s">
        <v>1017</v>
      </c>
      <c r="L69" s="51" t="s">
        <v>1238</v>
      </c>
      <c r="M69" s="51" t="s">
        <v>956</v>
      </c>
      <c r="N69" s="34" t="s">
        <v>711</v>
      </c>
      <c r="O69" s="51" t="s">
        <v>1774</v>
      </c>
      <c r="P69" s="34" t="s">
        <v>529</v>
      </c>
      <c r="Q69" s="51" t="s">
        <v>1252</v>
      </c>
      <c r="R69" s="51" t="s">
        <v>1836</v>
      </c>
      <c r="S69" s="51" t="s">
        <v>1485</v>
      </c>
      <c r="T69" s="34" t="s">
        <v>1721</v>
      </c>
      <c r="U69" s="34" t="s">
        <v>297</v>
      </c>
      <c r="V69" s="34" t="s">
        <v>1214</v>
      </c>
      <c r="W69" s="34" t="s">
        <v>763</v>
      </c>
      <c r="X69" s="34" t="s">
        <v>11</v>
      </c>
      <c r="Y69" s="34" t="s">
        <v>891</v>
      </c>
      <c r="Z69" s="98" t="s">
        <v>1445</v>
      </c>
      <c r="AA69" s="34" t="s">
        <v>1678</v>
      </c>
      <c r="AB69" s="51" t="s">
        <v>480</v>
      </c>
      <c r="AC69" s="120" t="s">
        <v>232</v>
      </c>
      <c r="AD69" s="51" t="s">
        <v>277</v>
      </c>
      <c r="AF69" s="4">
        <v>68</v>
      </c>
      <c r="AG69" s="4">
        <v>6</v>
      </c>
      <c r="AH69" s="4">
        <v>2</v>
      </c>
      <c r="AI69" s="4">
        <v>1</v>
      </c>
      <c r="AJ69" t="s">
        <v>1964</v>
      </c>
      <c r="AK69">
        <v>3</v>
      </c>
      <c r="AL69">
        <v>1.5</v>
      </c>
      <c r="AM69">
        <v>3</v>
      </c>
      <c r="AN69">
        <v>0.4</v>
      </c>
      <c r="AO69">
        <v>5</v>
      </c>
      <c r="AP69">
        <v>39</v>
      </c>
      <c r="AQ69">
        <v>1.8</v>
      </c>
      <c r="AS69" s="38">
        <f t="shared" si="37"/>
        <v>68</v>
      </c>
      <c r="AT69" s="25" t="b">
        <f t="shared" si="38"/>
        <v>0</v>
      </c>
      <c r="AU69" s="25" t="b">
        <f t="shared" si="39"/>
        <v>0</v>
      </c>
      <c r="AV69" s="25">
        <f t="shared" si="40"/>
        <v>68</v>
      </c>
      <c r="AW69" s="25" t="b">
        <f t="shared" si="41"/>
        <v>0</v>
      </c>
      <c r="BL69" s="28">
        <v>0.26</v>
      </c>
      <c r="BM69" s="28">
        <f t="shared" si="42"/>
        <v>0.6528362774606075</v>
      </c>
      <c r="BQ69" s="25">
        <v>2</v>
      </c>
      <c r="BR69" s="25">
        <f>ROUND(C14-(2*0.2*BE51),2)</f>
        <v>23.35</v>
      </c>
      <c r="BS69" s="40">
        <f>ROUND((BR69-BG$13)/4,3)</f>
        <v>1.838</v>
      </c>
      <c r="BT69" s="25">
        <f>ROUND(C$30*(BR69-BG$13)/BR69,0)</f>
        <v>147</v>
      </c>
      <c r="BU69" s="29">
        <f>278*BR69/C$30</f>
        <v>13.9</v>
      </c>
      <c r="BX69" s="39">
        <v>22</v>
      </c>
      <c r="BY69" s="45">
        <f>LOOKUP(BV$54,BZ$5:DJ$5,BZ69:DJ69)</f>
        <v>0</v>
      </c>
      <c r="BZ69" s="45"/>
      <c r="CF69" s="44" t="str">
        <f>CONCATENATE(BX69,DL82,DM82,DN82,DO82,DP82,DQ82)</f>
        <v>22 L IX+2 IY-2 RL F156</v>
      </c>
      <c r="CJ69" s="44" t="str">
        <f>CONCATENATE(BX69,DL100,DM100,DN100)</f>
        <v>22 CP IPA+90 IZ+0.375 DR+</v>
      </c>
      <c r="CK69" s="4" t="str">
        <f>CE60</f>
        <v>G01 G40 X-2. Y-2.</v>
      </c>
      <c r="CL69" s="44" t="str">
        <f>CONCATENATE(BX69,DL100,DM100,DN100)</f>
        <v>22 CP IPA+90 IZ+0.375 DR+</v>
      </c>
      <c r="CO69" s="44" t="str">
        <f>CC42</f>
        <v>G01 G40 X-2. Y-2.</v>
      </c>
      <c r="CP69" s="44" t="str">
        <f>CONCATENATE(BX69,FI136)</f>
        <v>22 LBL 102</v>
      </c>
      <c r="CQ69" s="44" t="str">
        <f>CE42</f>
        <v>G01 G40 X-1.838 Y-1.838</v>
      </c>
      <c r="CR69" s="152" t="str">
        <f>CP69</f>
        <v>22 LBL 102</v>
      </c>
      <c r="CV69" s="152" t="str">
        <f>CONCATENATE(BX69,DL91,FV18,FN91,FX18)</f>
        <v>22 CC IX-4 IY+0.023</v>
      </c>
      <c r="CW69" s="44" t="str">
        <f>CS15</f>
        <v>G03 X2. Y2. Z0.375 I0. J2.</v>
      </c>
      <c r="CX69" s="152" t="str">
        <f>CONCATENATE(BX69,DL91,GV45,FN91,GX45)</f>
        <v>22 CC IX-3.676 IY+0.023</v>
      </c>
      <c r="DA69" s="44" t="str">
        <f>CY33</f>
        <v>G00 Z34.25</v>
      </c>
      <c r="DC69" s="44" t="str">
        <f>DB51</f>
        <v>G00 Z-1.</v>
      </c>
      <c r="DD69" s="44" t="str">
        <f>DA60</f>
        <v>G03 X-2. C2. Z0.375 I-2. J0.</v>
      </c>
      <c r="DF69" s="44" t="str">
        <f>CZ42</f>
        <v>G03 X-2. C2. Z0.375 I-2. J0.</v>
      </c>
      <c r="DG69" s="44" t="str">
        <f>DA42</f>
        <v>G03 X-1.838 C1.838 Z0.375 I-1.838 J0.</v>
      </c>
      <c r="DI69" s="44" t="str">
        <f>DH42</f>
        <v>G00 Z34.25</v>
      </c>
      <c r="DJ69" s="44" t="str">
        <f>DH15</f>
        <v>G01 G41 X2. C-2. F156</v>
      </c>
      <c r="FC69" s="47"/>
    </row>
    <row r="70" spans="9:219" ht="15.75" customHeight="1">
      <c r="I70" s="5" t="str">
        <f t="shared" si="43"/>
        <v>z = number of flutes</v>
      </c>
      <c r="J70" s="87" t="s">
        <v>1106</v>
      </c>
      <c r="K70" s="51" t="s">
        <v>691</v>
      </c>
      <c r="L70" s="51" t="s">
        <v>1239</v>
      </c>
      <c r="M70" s="51" t="s">
        <v>692</v>
      </c>
      <c r="N70" s="34" t="s">
        <v>726</v>
      </c>
      <c r="O70" s="51" t="s">
        <v>1775</v>
      </c>
      <c r="P70" s="34" t="s">
        <v>530</v>
      </c>
      <c r="Q70" s="51" t="s">
        <v>1194</v>
      </c>
      <c r="R70" s="51" t="s">
        <v>1837</v>
      </c>
      <c r="S70" s="51" t="s">
        <v>1486</v>
      </c>
      <c r="T70" s="34" t="s">
        <v>1722</v>
      </c>
      <c r="U70" s="34" t="s">
        <v>298</v>
      </c>
      <c r="V70" s="34" t="s">
        <v>1470</v>
      </c>
      <c r="W70" s="34" t="s">
        <v>764</v>
      </c>
      <c r="X70" s="34" t="s">
        <v>12</v>
      </c>
      <c r="Y70" s="34" t="s">
        <v>832</v>
      </c>
      <c r="Z70" s="98" t="s">
        <v>1446</v>
      </c>
      <c r="AA70" s="34" t="s">
        <v>1679</v>
      </c>
      <c r="AB70" s="51" t="s">
        <v>481</v>
      </c>
      <c r="AC70" s="120" t="s">
        <v>233</v>
      </c>
      <c r="AD70" s="51" t="s">
        <v>278</v>
      </c>
      <c r="AF70" s="4">
        <v>69</v>
      </c>
      <c r="AG70" s="4">
        <v>6</v>
      </c>
      <c r="AH70" s="4">
        <v>2</v>
      </c>
      <c r="AI70" s="4">
        <v>1</v>
      </c>
      <c r="AJ70" t="s">
        <v>1965</v>
      </c>
      <c r="AK70">
        <v>3</v>
      </c>
      <c r="AL70">
        <v>1.5</v>
      </c>
      <c r="AM70">
        <v>3</v>
      </c>
      <c r="AN70">
        <v>0.4</v>
      </c>
      <c r="AO70">
        <v>3.4</v>
      </c>
      <c r="AP70">
        <v>39</v>
      </c>
      <c r="AQ70">
        <v>1.8</v>
      </c>
      <c r="AS70" s="38">
        <f t="shared" si="37"/>
        <v>69</v>
      </c>
      <c r="AT70" s="25" t="b">
        <f t="shared" si="38"/>
        <v>0</v>
      </c>
      <c r="AU70" s="25" t="b">
        <f t="shared" si="39"/>
        <v>0</v>
      </c>
      <c r="AV70" s="25">
        <f t="shared" si="40"/>
        <v>69</v>
      </c>
      <c r="AW70" s="25" t="b">
        <f t="shared" si="41"/>
        <v>0</v>
      </c>
      <c r="BL70" s="28">
        <v>0.28</v>
      </c>
      <c r="BM70" s="28">
        <f t="shared" si="42"/>
        <v>0.6730270901655747</v>
      </c>
      <c r="BQ70" s="25">
        <v>3</v>
      </c>
      <c r="BR70" s="25">
        <f>C14</f>
        <v>24</v>
      </c>
      <c r="BS70" s="40">
        <f>ROUND((BR70-BG$13)/4,3)</f>
        <v>2</v>
      </c>
      <c r="BT70" s="25">
        <f>ROUND(C$30*(BR70-BG$13)/BR70,0)</f>
        <v>156</v>
      </c>
      <c r="BU70" s="29">
        <f>278*BR70/C$30</f>
        <v>14.286937901498929</v>
      </c>
      <c r="CL70" s="44"/>
      <c r="DL70" s="46"/>
      <c r="DM70" s="46"/>
      <c r="DN70" s="46"/>
      <c r="DO70" s="46"/>
      <c r="DP70" s="46"/>
      <c r="DQ70" s="46"/>
      <c r="DR70" s="46"/>
      <c r="DS70" s="46"/>
      <c r="DT70" s="46"/>
      <c r="DU70" s="46"/>
      <c r="DV70" s="46"/>
      <c r="DW70" s="48"/>
      <c r="DY70" s="48"/>
      <c r="DZ70" s="48"/>
      <c r="EA70" s="48"/>
      <c r="EB70" s="48"/>
      <c r="EC70" s="48"/>
      <c r="ED70" s="48"/>
      <c r="EE70" s="48"/>
      <c r="EF70" s="48"/>
      <c r="EG70" s="48"/>
      <c r="EH70" s="48"/>
      <c r="EI70" s="48"/>
      <c r="EJ70" s="46"/>
      <c r="EL70" s="46"/>
      <c r="EM70" s="46"/>
      <c r="EN70" s="46"/>
      <c r="EO70" s="46"/>
      <c r="EP70" s="46"/>
      <c r="EQ70" s="46"/>
      <c r="ER70" s="46"/>
      <c r="ES70" s="46"/>
      <c r="ET70" s="46"/>
      <c r="EU70" s="46"/>
      <c r="EV70" s="46"/>
      <c r="EW70" s="46"/>
      <c r="EY70" s="150"/>
      <c r="EZ70" s="150"/>
      <c r="FA70" s="150"/>
      <c r="FB70" s="150"/>
      <c r="FD70" s="46"/>
      <c r="FE70" s="46"/>
      <c r="FF70" s="46"/>
      <c r="FG70" s="46"/>
      <c r="FI70" s="22"/>
      <c r="FJ70" s="22"/>
      <c r="FK70" s="22"/>
      <c r="FL70" s="22"/>
      <c r="FN70" s="22"/>
      <c r="FO70" s="22"/>
      <c r="FP70" s="22"/>
      <c r="FQ70" s="22"/>
      <c r="FR70" s="22"/>
      <c r="FS70" s="22"/>
      <c r="FT70" s="22"/>
      <c r="FU70" s="22"/>
      <c r="FV70" s="22"/>
      <c r="FW70" s="22"/>
      <c r="FX70" s="22"/>
      <c r="FY70" s="22"/>
      <c r="GA70" s="22"/>
      <c r="GB70" s="22"/>
      <c r="GC70" s="22"/>
      <c r="GD70" s="22"/>
      <c r="GE70" s="22"/>
      <c r="GF70" s="22"/>
      <c r="GG70" s="22"/>
      <c r="GH70" s="22"/>
      <c r="GI70" s="22"/>
      <c r="GJ70" s="22"/>
      <c r="GK70" s="22"/>
      <c r="GL70" s="22"/>
      <c r="GN70" s="22"/>
      <c r="GO70" s="22"/>
      <c r="GP70" s="22"/>
      <c r="GQ70" s="22"/>
      <c r="GR70" s="22"/>
      <c r="GS70" s="22"/>
      <c r="GT70" s="22"/>
      <c r="GU70" s="22"/>
      <c r="GV70" s="22"/>
      <c r="GW70" s="22"/>
      <c r="GX70" s="22"/>
      <c r="GY70" s="22"/>
      <c r="HA70" s="22"/>
      <c r="HC70" s="22"/>
      <c r="HE70" s="22"/>
      <c r="HG70" s="22"/>
      <c r="HI70" s="22"/>
      <c r="HK70" s="22"/>
    </row>
    <row r="71" spans="9:147" ht="15.75" customHeight="1">
      <c r="I71" s="5" t="str">
        <f t="shared" si="43"/>
        <v>V = cutting speed (m/min)</v>
      </c>
      <c r="J71" s="87" t="s">
        <v>1107</v>
      </c>
      <c r="K71" s="51" t="s">
        <v>706</v>
      </c>
      <c r="L71" s="51" t="s">
        <v>1240</v>
      </c>
      <c r="M71" s="51" t="s">
        <v>786</v>
      </c>
      <c r="N71" s="34" t="s">
        <v>892</v>
      </c>
      <c r="O71" s="51" t="s">
        <v>1776</v>
      </c>
      <c r="P71" s="34" t="s">
        <v>437</v>
      </c>
      <c r="Q71" s="51" t="s">
        <v>1274</v>
      </c>
      <c r="R71" s="51" t="s">
        <v>1838</v>
      </c>
      <c r="S71" s="51" t="s">
        <v>1487</v>
      </c>
      <c r="T71" s="34" t="s">
        <v>1723</v>
      </c>
      <c r="U71" s="34" t="s">
        <v>299</v>
      </c>
      <c r="V71" s="34" t="s">
        <v>1471</v>
      </c>
      <c r="W71" s="34" t="s">
        <v>651</v>
      </c>
      <c r="X71" s="34" t="s">
        <v>13</v>
      </c>
      <c r="Y71" s="34" t="s">
        <v>893</v>
      </c>
      <c r="Z71" s="98" t="s">
        <v>1447</v>
      </c>
      <c r="AA71" s="34" t="s">
        <v>1680</v>
      </c>
      <c r="AB71" s="51" t="s">
        <v>482</v>
      </c>
      <c r="AC71" s="120" t="s">
        <v>143</v>
      </c>
      <c r="AD71" s="51" t="s">
        <v>238</v>
      </c>
      <c r="AF71" s="4">
        <v>70</v>
      </c>
      <c r="AG71" s="4">
        <v>3</v>
      </c>
      <c r="AH71" s="4">
        <v>3</v>
      </c>
      <c r="AI71" s="4">
        <v>1</v>
      </c>
      <c r="AJ71" t="s">
        <v>1966</v>
      </c>
      <c r="AK71">
        <v>14</v>
      </c>
      <c r="AL71">
        <v>9</v>
      </c>
      <c r="AM71">
        <v>3</v>
      </c>
      <c r="AN71">
        <v>1.75</v>
      </c>
      <c r="AO71">
        <v>32.37</v>
      </c>
      <c r="AP71">
        <v>89</v>
      </c>
      <c r="AQ71">
        <v>11.6</v>
      </c>
      <c r="AS71" s="38">
        <f t="shared" si="37"/>
        <v>70</v>
      </c>
      <c r="AT71" s="25" t="b">
        <f t="shared" si="38"/>
        <v>0</v>
      </c>
      <c r="AU71" s="25" t="b">
        <f t="shared" si="39"/>
        <v>0</v>
      </c>
      <c r="AV71" s="25">
        <f t="shared" si="40"/>
        <v>70</v>
      </c>
      <c r="AW71" s="25" t="b">
        <f t="shared" si="41"/>
        <v>0</v>
      </c>
      <c r="BL71" s="28">
        <v>0.29</v>
      </c>
      <c r="BM71" s="28">
        <f t="shared" si="42"/>
        <v>0.6938423609954378</v>
      </c>
      <c r="BQ71" s="25"/>
      <c r="BS71" s="25"/>
      <c r="BT71" s="25"/>
      <c r="BU71" s="42">
        <f>ROUND(BU68+BU69+BU70,0)</f>
        <v>42</v>
      </c>
      <c r="CL71" s="44"/>
      <c r="DK71" s="48"/>
      <c r="DL71" s="25"/>
      <c r="DM71" s="25"/>
      <c r="DN71" s="25"/>
      <c r="DO71" s="25"/>
      <c r="DP71" s="25"/>
      <c r="DQ71" s="25"/>
      <c r="EK71" s="48"/>
      <c r="EL71" s="25"/>
      <c r="EM71" s="25"/>
      <c r="EN71" s="25"/>
      <c r="EO71" s="25"/>
      <c r="EP71" s="25"/>
      <c r="EQ71" s="25"/>
    </row>
    <row r="72" spans="9:170" ht="15.75" customHeight="1">
      <c r="I72" s="5" t="str">
        <f t="shared" si="43"/>
        <v>Fz = feed/tooth (mm/tooth)</v>
      </c>
      <c r="J72" s="87" t="s">
        <v>1108</v>
      </c>
      <c r="K72" s="51" t="s">
        <v>782</v>
      </c>
      <c r="L72" s="51" t="s">
        <v>1263</v>
      </c>
      <c r="M72" s="51" t="s">
        <v>995</v>
      </c>
      <c r="N72" s="51" t="s">
        <v>1008</v>
      </c>
      <c r="O72" s="51" t="s">
        <v>1777</v>
      </c>
      <c r="P72" s="34" t="s">
        <v>438</v>
      </c>
      <c r="Q72" s="51" t="s">
        <v>1275</v>
      </c>
      <c r="R72" s="51" t="s">
        <v>1839</v>
      </c>
      <c r="S72" s="51" t="s">
        <v>1488</v>
      </c>
      <c r="T72" s="34" t="s">
        <v>1643</v>
      </c>
      <c r="U72" s="34" t="s">
        <v>300</v>
      </c>
      <c r="V72" s="34" t="s">
        <v>1543</v>
      </c>
      <c r="W72" s="34" t="s">
        <v>656</v>
      </c>
      <c r="X72" s="34" t="s">
        <v>14</v>
      </c>
      <c r="Y72" s="34" t="s">
        <v>894</v>
      </c>
      <c r="Z72" s="98" t="s">
        <v>1448</v>
      </c>
      <c r="AA72" s="34" t="s">
        <v>1681</v>
      </c>
      <c r="AB72" s="51" t="s">
        <v>483</v>
      </c>
      <c r="AC72" s="120" t="s">
        <v>106</v>
      </c>
      <c r="AD72" s="51" t="s">
        <v>239</v>
      </c>
      <c r="AF72" s="4">
        <v>71</v>
      </c>
      <c r="AG72" s="4">
        <v>3</v>
      </c>
      <c r="AH72" s="4">
        <v>3</v>
      </c>
      <c r="AI72" s="4">
        <v>1</v>
      </c>
      <c r="AJ72" t="s">
        <v>1967</v>
      </c>
      <c r="AK72">
        <v>14</v>
      </c>
      <c r="AL72">
        <v>9</v>
      </c>
      <c r="AM72">
        <v>3</v>
      </c>
      <c r="AN72">
        <v>1.75</v>
      </c>
      <c r="AO72">
        <v>27.12</v>
      </c>
      <c r="AP72">
        <v>89</v>
      </c>
      <c r="AQ72">
        <v>11.6</v>
      </c>
      <c r="AS72" s="38">
        <f t="shared" si="37"/>
        <v>71</v>
      </c>
      <c r="AT72" s="25" t="b">
        <f t="shared" si="38"/>
        <v>0</v>
      </c>
      <c r="AU72" s="25" t="b">
        <f t="shared" si="39"/>
        <v>0</v>
      </c>
      <c r="AV72" s="25">
        <f t="shared" si="40"/>
        <v>71</v>
      </c>
      <c r="AW72" s="25" t="b">
        <f t="shared" si="41"/>
        <v>0</v>
      </c>
      <c r="BL72" s="28">
        <v>0.31</v>
      </c>
      <c r="BM72" s="28">
        <f t="shared" si="42"/>
        <v>0.7153014030880802</v>
      </c>
      <c r="BR72"/>
      <c r="BX72" s="39">
        <v>23</v>
      </c>
      <c r="BY72" s="45">
        <f>LOOKUP(BV$54,BZ$5:DJ$5,BZ72:DJ72)</f>
        <v>0</v>
      </c>
      <c r="BZ72" s="45"/>
      <c r="CF72" s="44" t="str">
        <f>CONCATENATE(BX72,DL85,DM85)</f>
        <v>23 CC IX+0 IY+2</v>
      </c>
      <c r="CJ72" s="44" t="str">
        <f>CONCATENATE(BX72,DL103,DM103,DN103,DO103,DP103)</f>
        <v>23 L IX-2 IY-2 R0</v>
      </c>
      <c r="CK72" s="4" t="str">
        <f>CG36</f>
        <v>G00 Z35.25</v>
      </c>
      <c r="CL72" s="44" t="str">
        <f>CONCATENATE(BX72,EL130,EM130,EN130,EO130,EP130)</f>
        <v>23 L IX-1.838 IY-1.838 R0</v>
      </c>
      <c r="CO72" s="44" t="str">
        <f>CM42</f>
        <v>G00 Z1.25</v>
      </c>
      <c r="CP72" s="44" t="str">
        <f>CONCATENATE(BX72,DL91,DM91,DN91)</f>
        <v>23 CC IX-4 IY+0</v>
      </c>
      <c r="CQ72" s="44" t="str">
        <f>CQ42</f>
        <v>G00 Z-36.75</v>
      </c>
      <c r="CR72" s="152" t="str">
        <f>CONCATENATE(BX72,EL118,EM118,EN118)</f>
        <v>23 CC IX-3.676 IY+0</v>
      </c>
      <c r="CV72" s="152" t="str">
        <f>CONCATENATE(BX72,DL88,FT18,DN88)</f>
        <v>23 CP IPA+90 IZ+0.75 DR+</v>
      </c>
      <c r="CW72" s="44" t="str">
        <f>CS18</f>
        <v>G03 X-4. Y4.023 Z0.75 I-4. J0.023</v>
      </c>
      <c r="CX72" s="152" t="str">
        <f>CV72</f>
        <v>23 CP IPA+90 IZ+0.75 DR+</v>
      </c>
      <c r="DD72" s="44" t="str">
        <f>DA63</f>
        <v>G01 G40 X-2. C-2.</v>
      </c>
      <c r="DF72" s="44" t="str">
        <f>CZ45</f>
        <v>G01 G40 X-2. C-2.</v>
      </c>
      <c r="DG72" s="44" t="str">
        <f>DA45</f>
        <v>G01 G40 X-1.838 C-1.838</v>
      </c>
      <c r="DJ72" s="44" t="str">
        <f>DH18</f>
        <v>G03 X2. C2. Z0.375 I0. J2.</v>
      </c>
      <c r="DK72" s="49"/>
      <c r="DL72" s="41" t="s">
        <v>1605</v>
      </c>
      <c r="DM72" s="18"/>
      <c r="DN72" s="18"/>
      <c r="DO72" s="18"/>
      <c r="DP72" s="18"/>
      <c r="DQ72" s="18"/>
      <c r="DX72" s="49"/>
      <c r="DY72" s="41" t="s">
        <v>1604</v>
      </c>
      <c r="DZ72" s="18"/>
      <c r="EA72" s="18"/>
      <c r="EB72" s="18"/>
      <c r="EC72" s="18"/>
      <c r="ED72" s="18"/>
      <c r="EK72" s="49"/>
      <c r="EL72" s="41" t="s">
        <v>1603</v>
      </c>
      <c r="EM72" s="18"/>
      <c r="EN72" s="18"/>
      <c r="EO72" s="18"/>
      <c r="EP72" s="18"/>
      <c r="EQ72" s="18"/>
      <c r="EY72" s="144" t="s">
        <v>1602</v>
      </c>
      <c r="FD72" s="41" t="s">
        <v>21</v>
      </c>
      <c r="FI72" s="41" t="s">
        <v>23</v>
      </c>
      <c r="FN72" s="41" t="s">
        <v>1663</v>
      </c>
    </row>
    <row r="73" spans="9:147" ht="15.75" customHeight="1">
      <c r="I73" s="5" t="str">
        <f t="shared" si="43"/>
        <v>Number of passes, radial (max 3)</v>
      </c>
      <c r="J73" s="87" t="s">
        <v>1109</v>
      </c>
      <c r="K73" s="34" t="s">
        <v>1068</v>
      </c>
      <c r="L73" s="51" t="s">
        <v>1264</v>
      </c>
      <c r="M73" s="51" t="s">
        <v>594</v>
      </c>
      <c r="N73" s="34" t="s">
        <v>888</v>
      </c>
      <c r="O73" s="51" t="s">
        <v>1778</v>
      </c>
      <c r="P73" s="34" t="s">
        <v>439</v>
      </c>
      <c r="Q73" s="51" t="s">
        <v>1156</v>
      </c>
      <c r="R73" s="51" t="s">
        <v>1840</v>
      </c>
      <c r="S73" s="51" t="s">
        <v>1489</v>
      </c>
      <c r="T73" s="34" t="s">
        <v>1644</v>
      </c>
      <c r="U73" s="34" t="s">
        <v>322</v>
      </c>
      <c r="V73" s="34" t="s">
        <v>1385</v>
      </c>
      <c r="W73" s="34" t="s">
        <v>657</v>
      </c>
      <c r="X73" s="34" t="s">
        <v>15</v>
      </c>
      <c r="Y73" s="34" t="s">
        <v>882</v>
      </c>
      <c r="Z73" s="98" t="s">
        <v>1450</v>
      </c>
      <c r="AA73" s="112" t="s">
        <v>1474</v>
      </c>
      <c r="AB73" s="102" t="s">
        <v>484</v>
      </c>
      <c r="AC73" s="119" t="s">
        <v>107</v>
      </c>
      <c r="AD73" s="108" t="s">
        <v>240</v>
      </c>
      <c r="AF73" s="4">
        <v>72</v>
      </c>
      <c r="AG73" s="4">
        <v>3</v>
      </c>
      <c r="AH73" s="4">
        <v>3</v>
      </c>
      <c r="AI73" s="4">
        <v>1</v>
      </c>
      <c r="AJ73" t="s">
        <v>1968</v>
      </c>
      <c r="AK73">
        <v>14</v>
      </c>
      <c r="AL73">
        <v>9</v>
      </c>
      <c r="AM73">
        <v>3</v>
      </c>
      <c r="AN73">
        <v>1.75</v>
      </c>
      <c r="AO73">
        <v>20.12</v>
      </c>
      <c r="AP73">
        <v>89</v>
      </c>
      <c r="AQ73">
        <v>11.6</v>
      </c>
      <c r="AS73" s="38">
        <f t="shared" si="37"/>
        <v>72</v>
      </c>
      <c r="AT73" s="25" t="b">
        <f t="shared" si="38"/>
        <v>0</v>
      </c>
      <c r="AU73" s="25" t="b">
        <f t="shared" si="39"/>
        <v>0</v>
      </c>
      <c r="AV73" s="25">
        <f t="shared" si="40"/>
        <v>72</v>
      </c>
      <c r="AW73" s="25" t="b">
        <f t="shared" si="41"/>
        <v>0</v>
      </c>
      <c r="BL73" s="28">
        <v>0.33</v>
      </c>
      <c r="BM73" s="28">
        <f t="shared" si="42"/>
        <v>0.7374241268949281</v>
      </c>
      <c r="BR73"/>
      <c r="BX73" s="39"/>
      <c r="CL73" s="44"/>
      <c r="DK73" s="49">
        <v>1</v>
      </c>
      <c r="DL73" s="25" t="s">
        <v>1549</v>
      </c>
      <c r="DM73" s="6">
        <f>C29</f>
        <v>3143</v>
      </c>
      <c r="DN73" s="6"/>
      <c r="DO73" s="18"/>
      <c r="DP73" s="18"/>
      <c r="DQ73" s="18"/>
      <c r="DX73" s="49"/>
      <c r="DZ73" s="6"/>
      <c r="EA73" s="6"/>
      <c r="EB73" s="18"/>
      <c r="EC73" s="18"/>
      <c r="ED73" s="18"/>
      <c r="EK73" s="49"/>
      <c r="EL73" s="25"/>
      <c r="EM73" s="6"/>
      <c r="EN73" s="6"/>
      <c r="EO73" s="18"/>
      <c r="EP73" s="18"/>
      <c r="EQ73" s="18"/>
    </row>
    <row r="74" spans="9:147" ht="15.75" customHeight="1">
      <c r="I74" s="5" t="str">
        <f t="shared" si="43"/>
        <v>Number of passes, axial</v>
      </c>
      <c r="J74" s="87" t="s">
        <v>1110</v>
      </c>
      <c r="K74" s="34" t="s">
        <v>1073</v>
      </c>
      <c r="L74" s="51" t="s">
        <v>1164</v>
      </c>
      <c r="M74" s="51" t="s">
        <v>595</v>
      </c>
      <c r="N74" s="34" t="s">
        <v>889</v>
      </c>
      <c r="O74" s="51" t="s">
        <v>1779</v>
      </c>
      <c r="P74" s="34" t="s">
        <v>440</v>
      </c>
      <c r="Q74" s="51" t="s">
        <v>1157</v>
      </c>
      <c r="R74" s="51" t="s">
        <v>1841</v>
      </c>
      <c r="S74" s="51" t="s">
        <v>1490</v>
      </c>
      <c r="T74" s="34" t="s">
        <v>1645</v>
      </c>
      <c r="U74" s="34" t="s">
        <v>323</v>
      </c>
      <c r="V74" s="34" t="s">
        <v>1386</v>
      </c>
      <c r="W74" s="34" t="s">
        <v>658</v>
      </c>
      <c r="X74" s="34" t="s">
        <v>92</v>
      </c>
      <c r="Y74" s="34" t="s">
        <v>895</v>
      </c>
      <c r="Z74" s="98" t="s">
        <v>1451</v>
      </c>
      <c r="AA74" s="112" t="s">
        <v>1682</v>
      </c>
      <c r="AB74" s="102" t="s">
        <v>466</v>
      </c>
      <c r="AC74" s="119" t="s">
        <v>108</v>
      </c>
      <c r="AD74" s="108" t="s">
        <v>241</v>
      </c>
      <c r="AF74" s="4">
        <v>73</v>
      </c>
      <c r="AG74" s="4">
        <v>3</v>
      </c>
      <c r="AH74" s="4">
        <v>3</v>
      </c>
      <c r="AI74" s="4">
        <v>1</v>
      </c>
      <c r="AJ74" t="s">
        <v>1969</v>
      </c>
      <c r="AK74">
        <v>12</v>
      </c>
      <c r="AL74">
        <v>7.5</v>
      </c>
      <c r="AM74">
        <v>3</v>
      </c>
      <c r="AN74">
        <v>1.5</v>
      </c>
      <c r="AO74">
        <v>27.75</v>
      </c>
      <c r="AP74">
        <v>83</v>
      </c>
      <c r="AQ74">
        <v>9.6</v>
      </c>
      <c r="AS74" s="38">
        <f t="shared" si="37"/>
        <v>73</v>
      </c>
      <c r="AT74" s="25" t="b">
        <f t="shared" si="38"/>
        <v>0</v>
      </c>
      <c r="AU74" s="25" t="b">
        <f t="shared" si="39"/>
        <v>0</v>
      </c>
      <c r="AV74" s="25">
        <f t="shared" si="40"/>
        <v>73</v>
      </c>
      <c r="AW74" s="25" t="b">
        <f t="shared" si="41"/>
        <v>0</v>
      </c>
      <c r="BL74" s="28">
        <v>0.36</v>
      </c>
      <c r="BM74" s="28">
        <f t="shared" si="42"/>
        <v>0.7602310586545651</v>
      </c>
      <c r="BR74"/>
      <c r="CL74" s="44"/>
      <c r="DK74" s="49"/>
      <c r="DL74" s="18"/>
      <c r="DM74" s="18"/>
      <c r="DN74" s="18"/>
      <c r="DO74" s="18"/>
      <c r="DP74" s="18"/>
      <c r="DQ74" s="18"/>
      <c r="DX74" s="49"/>
      <c r="DY74" s="18"/>
      <c r="DZ74" s="18"/>
      <c r="EA74" s="18"/>
      <c r="EB74" s="18"/>
      <c r="EC74" s="18"/>
      <c r="ED74" s="18"/>
      <c r="EK74" s="49"/>
      <c r="EL74" s="18"/>
      <c r="EM74" s="18"/>
      <c r="EN74" s="18"/>
      <c r="EO74" s="18"/>
      <c r="EP74" s="18"/>
      <c r="EQ74" s="18"/>
    </row>
    <row r="75" spans="9:147" ht="15.75" customHeight="1">
      <c r="I75" s="5" t="str">
        <f t="shared" si="43"/>
        <v>N = spindle speed (rpm)</v>
      </c>
      <c r="J75" s="87" t="s">
        <v>1056</v>
      </c>
      <c r="K75" s="51" t="s">
        <v>834</v>
      </c>
      <c r="L75" s="51" t="s">
        <v>1165</v>
      </c>
      <c r="M75" s="51" t="s">
        <v>947</v>
      </c>
      <c r="N75" s="34" t="s">
        <v>1009</v>
      </c>
      <c r="O75" s="51" t="s">
        <v>1780</v>
      </c>
      <c r="P75" s="34" t="s">
        <v>441</v>
      </c>
      <c r="Q75" s="51" t="s">
        <v>1158</v>
      </c>
      <c r="R75" s="51" t="s">
        <v>1842</v>
      </c>
      <c r="S75" s="51" t="s">
        <v>1305</v>
      </c>
      <c r="T75" s="34" t="s">
        <v>1646</v>
      </c>
      <c r="U75" s="34" t="s">
        <v>324</v>
      </c>
      <c r="V75" s="34" t="s">
        <v>1387</v>
      </c>
      <c r="W75" s="34" t="s">
        <v>659</v>
      </c>
      <c r="X75" s="34" t="s">
        <v>16</v>
      </c>
      <c r="Y75" s="34" t="s">
        <v>896</v>
      </c>
      <c r="Z75" s="98" t="s">
        <v>1452</v>
      </c>
      <c r="AA75" s="34" t="s">
        <v>1683</v>
      </c>
      <c r="AB75" s="51" t="s">
        <v>467</v>
      </c>
      <c r="AC75" s="120" t="s">
        <v>189</v>
      </c>
      <c r="AD75" s="51" t="s">
        <v>242</v>
      </c>
      <c r="AF75" s="4">
        <v>74</v>
      </c>
      <c r="AG75" s="4">
        <v>3</v>
      </c>
      <c r="AH75" s="4">
        <v>3</v>
      </c>
      <c r="AI75" s="4">
        <v>1</v>
      </c>
      <c r="AJ75" t="s">
        <v>1970</v>
      </c>
      <c r="AK75">
        <v>12</v>
      </c>
      <c r="AL75">
        <v>7.5</v>
      </c>
      <c r="AM75">
        <v>3</v>
      </c>
      <c r="AN75">
        <v>1.5</v>
      </c>
      <c r="AO75">
        <v>21.75</v>
      </c>
      <c r="AP75">
        <v>83</v>
      </c>
      <c r="AQ75">
        <v>9.6</v>
      </c>
      <c r="AS75" s="38">
        <f t="shared" si="37"/>
        <v>74</v>
      </c>
      <c r="AT75" s="25" t="b">
        <f t="shared" si="38"/>
        <v>0</v>
      </c>
      <c r="AU75" s="25" t="b">
        <f t="shared" si="39"/>
        <v>0</v>
      </c>
      <c r="AV75" s="25">
        <f t="shared" si="40"/>
        <v>74</v>
      </c>
      <c r="AW75" s="25" t="b">
        <f t="shared" si="41"/>
        <v>0</v>
      </c>
      <c r="BL75" s="28">
        <v>0.38</v>
      </c>
      <c r="BM75" s="28">
        <f t="shared" si="42"/>
        <v>0.783743359437696</v>
      </c>
      <c r="BR75"/>
      <c r="BX75" s="39">
        <v>24</v>
      </c>
      <c r="BY75" s="45">
        <f>LOOKUP(BV$54,BZ$5:DJ$5,BZ75:DJ75)</f>
        <v>0</v>
      </c>
      <c r="BZ75" s="45"/>
      <c r="CF75" s="44" t="str">
        <f>CONCATENATE(BX75,DL88,DM88,DN88)</f>
        <v>24 CP IPA+90 IZ+0.375 DR+</v>
      </c>
      <c r="CJ75" s="44" t="str">
        <f>CONCATENATE(BX75,DL106,EZ115,DN106)</f>
        <v>24 L IZ+35.25 FMAX</v>
      </c>
      <c r="CK75" s="4" t="str">
        <f>CG39</f>
        <v>#2=#2+1</v>
      </c>
      <c r="CL75" s="44" t="str">
        <f>CONCATENATE(BX75,EL133,EM133,EN133)</f>
        <v>24 L IZ-3.75 FMAX</v>
      </c>
      <c r="CP75" s="44" t="str">
        <f>CONCATENATE(BX75,DL94,DM94,DN94)</f>
        <v>24 CP IPA+360 IZ+3 DR+</v>
      </c>
      <c r="CQ75" s="44" t="str">
        <f>CE48</f>
        <v>G01 G41 X2. Y-2. F156</v>
      </c>
      <c r="CR75" s="152" t="str">
        <f>CP75</f>
        <v>24 CP IPA+360 IZ+3 DR+</v>
      </c>
      <c r="CV75" s="152" t="str">
        <f>CONCATENATE(BX75,DL91,FV21,DN82,FX21)</f>
        <v>24 CC IX-0.023 IY-4.023</v>
      </c>
      <c r="CW75" s="44" t="str">
        <f>CS21</f>
        <v>G03 X-4.046 Y-4.023 Z0.75 I-0.023 J-4.023</v>
      </c>
      <c r="CX75" s="152" t="str">
        <f>CONCATENATE(BX75,DL91,GV48,DN82,GX48)</f>
        <v>24 CC IX-0.023 IY-3.699</v>
      </c>
      <c r="DD75" s="44" t="str">
        <f>DB39</f>
        <v>G00 Z35.25</v>
      </c>
      <c r="DF75" s="44" t="str">
        <f>DE45</f>
        <v>G13.1</v>
      </c>
      <c r="DG75" s="44" t="str">
        <f>DG45</f>
        <v>G00 Z-36.75</v>
      </c>
      <c r="DJ75" s="44" t="str">
        <f>DH21</f>
        <v>G03 X-4. C4.023 Z0.75 I-4. J0.023</v>
      </c>
      <c r="DK75" s="48"/>
      <c r="DL75" s="25"/>
      <c r="DM75" s="25"/>
      <c r="DN75" s="25"/>
      <c r="DO75" s="25"/>
      <c r="DP75" s="25"/>
      <c r="DQ75" s="25"/>
      <c r="EK75" s="48"/>
      <c r="EL75" s="25"/>
      <c r="EM75" s="25"/>
      <c r="EN75" s="25"/>
      <c r="EO75" s="25"/>
      <c r="EP75" s="25"/>
      <c r="EQ75" s="25"/>
    </row>
    <row r="76" spans="9:147" ht="15.75" customHeight="1">
      <c r="I76" s="5" t="str">
        <f t="shared" si="43"/>
        <v>FD = feed at thread diameter (mm/min)</v>
      </c>
      <c r="J76" s="87" t="s">
        <v>1057</v>
      </c>
      <c r="K76" s="51" t="s">
        <v>779</v>
      </c>
      <c r="L76" s="51" t="s">
        <v>1166</v>
      </c>
      <c r="M76" s="51" t="s">
        <v>964</v>
      </c>
      <c r="N76" s="34" t="s">
        <v>715</v>
      </c>
      <c r="O76" s="51" t="s">
        <v>1781</v>
      </c>
      <c r="P76" s="34" t="s">
        <v>442</v>
      </c>
      <c r="Q76" s="51" t="s">
        <v>1219</v>
      </c>
      <c r="R76" s="51" t="s">
        <v>1843</v>
      </c>
      <c r="S76" s="51" t="s">
        <v>1306</v>
      </c>
      <c r="T76" s="34" t="s">
        <v>1647</v>
      </c>
      <c r="U76" s="34" t="s">
        <v>325</v>
      </c>
      <c r="V76" s="34" t="s">
        <v>1458</v>
      </c>
      <c r="W76" s="34" t="s">
        <v>660</v>
      </c>
      <c r="X76" s="34" t="s">
        <v>17</v>
      </c>
      <c r="Y76" s="34" t="s">
        <v>790</v>
      </c>
      <c r="Z76" s="98" t="s">
        <v>1453</v>
      </c>
      <c r="AA76" s="34" t="s">
        <v>1684</v>
      </c>
      <c r="AB76" s="51" t="s">
        <v>468</v>
      </c>
      <c r="AC76" s="120" t="s">
        <v>190</v>
      </c>
      <c r="AD76" s="51" t="s">
        <v>243</v>
      </c>
      <c r="AF76" s="4">
        <v>75</v>
      </c>
      <c r="AG76" s="4">
        <v>3</v>
      </c>
      <c r="AH76" s="4">
        <v>3</v>
      </c>
      <c r="AI76" s="4">
        <v>1</v>
      </c>
      <c r="AJ76" t="s">
        <v>1971</v>
      </c>
      <c r="AK76">
        <v>12</v>
      </c>
      <c r="AL76">
        <v>7.5</v>
      </c>
      <c r="AM76">
        <v>3</v>
      </c>
      <c r="AN76">
        <v>1.5</v>
      </c>
      <c r="AO76">
        <v>17.25</v>
      </c>
      <c r="AP76">
        <v>83</v>
      </c>
      <c r="AQ76">
        <v>9.6</v>
      </c>
      <c r="AS76" s="38">
        <f t="shared" si="37"/>
        <v>75</v>
      </c>
      <c r="AT76" s="25" t="b">
        <f t="shared" si="38"/>
        <v>0</v>
      </c>
      <c r="AU76" s="25" t="b">
        <f t="shared" si="39"/>
        <v>0</v>
      </c>
      <c r="AV76" s="25">
        <f t="shared" si="40"/>
        <v>75</v>
      </c>
      <c r="AW76" s="25" t="b">
        <f t="shared" si="41"/>
        <v>0</v>
      </c>
      <c r="BL76" s="28">
        <v>0.42</v>
      </c>
      <c r="BM76" s="28">
        <f t="shared" si="42"/>
        <v>0.8079828447811299</v>
      </c>
      <c r="BR76"/>
      <c r="CL76" s="44"/>
      <c r="DK76" s="49">
        <v>2</v>
      </c>
      <c r="DL76" s="25" t="s">
        <v>1550</v>
      </c>
      <c r="DM76" s="25"/>
      <c r="DN76" s="25"/>
      <c r="DO76" s="25"/>
      <c r="DP76" s="25"/>
      <c r="DQ76" s="25"/>
      <c r="DX76" s="49"/>
      <c r="EK76" s="49"/>
      <c r="EL76" s="25"/>
      <c r="EM76" s="25"/>
      <c r="EN76" s="25"/>
      <c r="EO76" s="25"/>
      <c r="EP76" s="25"/>
      <c r="EQ76" s="25"/>
    </row>
    <row r="77" spans="9:147" ht="15.75" customHeight="1">
      <c r="I77" s="5" t="str">
        <f t="shared" si="43"/>
        <v>Fd = feed in center of mill (mm/min)</v>
      </c>
      <c r="J77" s="87" t="s">
        <v>1058</v>
      </c>
      <c r="K77" s="51" t="s">
        <v>1148</v>
      </c>
      <c r="L77" s="51" t="s">
        <v>1167</v>
      </c>
      <c r="M77" s="51" t="s">
        <v>993</v>
      </c>
      <c r="N77" s="34" t="s">
        <v>831</v>
      </c>
      <c r="O77" s="51" t="s">
        <v>1782</v>
      </c>
      <c r="P77" s="34" t="s">
        <v>453</v>
      </c>
      <c r="Q77" s="51" t="s">
        <v>1096</v>
      </c>
      <c r="R77" s="51" t="s">
        <v>1844</v>
      </c>
      <c r="S77" s="51" t="s">
        <v>1307</v>
      </c>
      <c r="T77" s="34" t="s">
        <v>1648</v>
      </c>
      <c r="U77" s="34" t="s">
        <v>326</v>
      </c>
      <c r="V77" s="34" t="s">
        <v>1459</v>
      </c>
      <c r="W77" s="34" t="s">
        <v>661</v>
      </c>
      <c r="X77" s="34" t="s">
        <v>18</v>
      </c>
      <c r="Y77" s="34" t="s">
        <v>929</v>
      </c>
      <c r="Z77" s="98" t="s">
        <v>1454</v>
      </c>
      <c r="AA77" s="34" t="s">
        <v>1529</v>
      </c>
      <c r="AB77" s="51" t="s">
        <v>374</v>
      </c>
      <c r="AC77" s="120" t="s">
        <v>191</v>
      </c>
      <c r="AD77" s="51" t="s">
        <v>244</v>
      </c>
      <c r="AF77" s="4">
        <v>76</v>
      </c>
      <c r="AG77" s="4">
        <v>3</v>
      </c>
      <c r="AH77" s="4">
        <v>3</v>
      </c>
      <c r="AI77" s="4">
        <v>1</v>
      </c>
      <c r="AJ77" t="s">
        <v>1972</v>
      </c>
      <c r="AK77">
        <v>10</v>
      </c>
      <c r="AL77">
        <v>6</v>
      </c>
      <c r="AM77">
        <v>3</v>
      </c>
      <c r="AN77">
        <v>1.25</v>
      </c>
      <c r="AO77">
        <v>21.87</v>
      </c>
      <c r="AP77">
        <v>76</v>
      </c>
      <c r="AQ77">
        <v>7.8</v>
      </c>
      <c r="AS77" s="38">
        <f t="shared" si="37"/>
        <v>76</v>
      </c>
      <c r="AT77" s="25" t="b">
        <f t="shared" si="38"/>
        <v>0</v>
      </c>
      <c r="AU77" s="25" t="b">
        <f t="shared" si="39"/>
        <v>0</v>
      </c>
      <c r="AV77" s="25">
        <f t="shared" si="40"/>
        <v>76</v>
      </c>
      <c r="AW77" s="25" t="b">
        <f t="shared" si="41"/>
        <v>0</v>
      </c>
      <c r="BL77" s="28">
        <v>0.45</v>
      </c>
      <c r="BM77" s="28">
        <f t="shared" si="42"/>
        <v>0.8329720049289999</v>
      </c>
      <c r="BR77"/>
      <c r="CL77" s="44"/>
      <c r="DK77" s="49"/>
      <c r="DL77" s="25"/>
      <c r="DM77" s="18"/>
      <c r="DN77" s="25"/>
      <c r="DO77" s="25"/>
      <c r="DP77" s="25"/>
      <c r="DQ77" s="25"/>
      <c r="DX77" s="49"/>
      <c r="DZ77" s="18"/>
      <c r="EK77" s="49"/>
      <c r="EL77" s="25"/>
      <c r="EM77" s="18"/>
      <c r="EN77" s="25"/>
      <c r="EO77" s="25"/>
      <c r="EP77" s="25"/>
      <c r="EQ77" s="25"/>
    </row>
    <row r="78" spans="9:147" ht="15.75" customHeight="1">
      <c r="I78" s="5" t="str">
        <f t="shared" si="43"/>
        <v>T = time to mill the thread (seconds)</v>
      </c>
      <c r="J78" s="87" t="s">
        <v>1059</v>
      </c>
      <c r="K78" s="51" t="s">
        <v>1149</v>
      </c>
      <c r="L78" s="51" t="s">
        <v>1172</v>
      </c>
      <c r="M78" s="51" t="s">
        <v>994</v>
      </c>
      <c r="N78" s="34" t="s">
        <v>804</v>
      </c>
      <c r="O78" s="51" t="s">
        <v>1783</v>
      </c>
      <c r="P78" s="34" t="s">
        <v>396</v>
      </c>
      <c r="Q78" s="51" t="s">
        <v>1097</v>
      </c>
      <c r="R78" s="51" t="s">
        <v>1845</v>
      </c>
      <c r="S78" s="51" t="s">
        <v>1308</v>
      </c>
      <c r="T78" s="34" t="s">
        <v>1544</v>
      </c>
      <c r="U78" s="34" t="s">
        <v>327</v>
      </c>
      <c r="V78" s="34" t="s">
        <v>1388</v>
      </c>
      <c r="W78" s="34" t="s">
        <v>532</v>
      </c>
      <c r="X78" s="34" t="s">
        <v>19</v>
      </c>
      <c r="Y78" s="34" t="s">
        <v>965</v>
      </c>
      <c r="Z78" s="98" t="s">
        <v>1479</v>
      </c>
      <c r="AA78" s="34" t="s">
        <v>1530</v>
      </c>
      <c r="AB78" s="51" t="s">
        <v>485</v>
      </c>
      <c r="AC78" s="120" t="s">
        <v>192</v>
      </c>
      <c r="AD78" s="51" t="s">
        <v>245</v>
      </c>
      <c r="AF78" s="4">
        <v>77</v>
      </c>
      <c r="AG78" s="4">
        <v>3</v>
      </c>
      <c r="AH78" s="4">
        <v>3</v>
      </c>
      <c r="AI78" s="4">
        <v>1</v>
      </c>
      <c r="AJ78" t="s">
        <v>1973</v>
      </c>
      <c r="AK78">
        <v>10</v>
      </c>
      <c r="AL78">
        <v>6</v>
      </c>
      <c r="AM78">
        <v>3</v>
      </c>
      <c r="AN78">
        <v>1.25</v>
      </c>
      <c r="AO78">
        <v>18.12</v>
      </c>
      <c r="AP78">
        <v>76</v>
      </c>
      <c r="AQ78">
        <v>7.8</v>
      </c>
      <c r="AS78" s="38">
        <f t="shared" si="37"/>
        <v>77</v>
      </c>
      <c r="AT78" s="25" t="b">
        <f t="shared" si="38"/>
        <v>0</v>
      </c>
      <c r="AU78" s="25" t="b">
        <f t="shared" si="39"/>
        <v>0</v>
      </c>
      <c r="AV78" s="25">
        <f t="shared" si="40"/>
        <v>77</v>
      </c>
      <c r="AW78" s="25" t="b">
        <f t="shared" si="41"/>
        <v>0</v>
      </c>
      <c r="BL78" s="28">
        <v>0.5</v>
      </c>
      <c r="BM78" s="28">
        <f t="shared" si="42"/>
        <v>0.8587340256999999</v>
      </c>
      <c r="BX78" s="39">
        <v>25</v>
      </c>
      <c r="BY78" s="45">
        <f>LOOKUP(BV$54,BZ$5:DJ$5,BZ78:DJ78)</f>
        <v>0</v>
      </c>
      <c r="BZ78" s="45"/>
      <c r="CF78" s="44" t="str">
        <f>CONCATENATE(BX78,DL91,DM91,DN91)</f>
        <v>25 CC IX-4 IY+0</v>
      </c>
      <c r="CJ78" s="44" t="str">
        <f>CONCATENATE(BX78,EY118)</f>
        <v>25 FN 1: Q2 =+Q2 + +1</v>
      </c>
      <c r="CK78" s="4" t="str">
        <f>CG42</f>
        <v>END1</v>
      </c>
      <c r="CL78" s="44" t="str">
        <f>CONCATENATE(BX78,DL82,DM82,DN82,DO82,DP82,DQ82)</f>
        <v>25 L IX+2 IY-2 RL F156</v>
      </c>
      <c r="CP78" s="44" t="str">
        <f>CONCATENATE(BX78,EY118)</f>
        <v>25 FN 1: Q2 =+Q2 + +1</v>
      </c>
      <c r="CQ78" s="44" t="str">
        <f>CE51</f>
        <v>G03 X2. Y2. Z0.375 I0. J2.</v>
      </c>
      <c r="CR78" s="152" t="str">
        <f>CP78</f>
        <v>25 FN 1: Q2 =+Q2 + +1</v>
      </c>
      <c r="CV78" s="152" t="str">
        <f>CONCATENATE(BX78,DL88,FT21,DN88)</f>
        <v>25 CP IPA+90 IZ+0.75 DR+</v>
      </c>
      <c r="CW78" s="44" t="str">
        <f>CS24</f>
        <v>G03 X4.046 Y-4.069 Z0.75 I4.046 J-0.023</v>
      </c>
      <c r="CX78" s="152" t="str">
        <f>CV78</f>
        <v>25 CP IPA+90 IZ+0.75 DR+</v>
      </c>
      <c r="DD78" s="44" t="str">
        <f>DB42</f>
        <v>#2=#2+1</v>
      </c>
      <c r="DF78" s="44" t="str">
        <f>DE48</f>
        <v>G00 Z1.25</v>
      </c>
      <c r="DG78" s="44" t="str">
        <f>DA51</f>
        <v>G01 G41 X2. C-2. F156</v>
      </c>
      <c r="DJ78" s="44" t="str">
        <f>DH24</f>
        <v>G03 X-4.046 C-4.023 Z0.75 I-0.023 J-4.023</v>
      </c>
      <c r="DK78" s="48"/>
      <c r="DL78" s="25"/>
      <c r="DM78" s="18">
        <f>-(C16+C17)</f>
        <v>-38</v>
      </c>
      <c r="DN78" s="25"/>
      <c r="DO78" s="25"/>
      <c r="DP78" s="25"/>
      <c r="DQ78" s="25"/>
      <c r="DZ78" s="18"/>
      <c r="EK78" s="48"/>
      <c r="EL78" s="25"/>
      <c r="EM78" s="18"/>
      <c r="EN78" s="25"/>
      <c r="EO78" s="25"/>
      <c r="EP78" s="25"/>
      <c r="EQ78" s="25"/>
    </row>
    <row r="79" spans="10:147" ht="15.75" customHeight="1">
      <c r="J79" s="87"/>
      <c r="Z79" s="98"/>
      <c r="AC79" s="120"/>
      <c r="AF79" s="4">
        <v>78</v>
      </c>
      <c r="AG79" s="4">
        <v>3</v>
      </c>
      <c r="AH79" s="4">
        <v>3</v>
      </c>
      <c r="AI79" s="4">
        <v>1</v>
      </c>
      <c r="AJ79" t="s">
        <v>1974</v>
      </c>
      <c r="AK79">
        <v>10</v>
      </c>
      <c r="AL79">
        <v>6</v>
      </c>
      <c r="AM79">
        <v>3</v>
      </c>
      <c r="AN79">
        <v>1.25</v>
      </c>
      <c r="AO79">
        <v>14.37</v>
      </c>
      <c r="AP79">
        <v>76</v>
      </c>
      <c r="AQ79">
        <v>7.8</v>
      </c>
      <c r="AS79" s="38">
        <f t="shared" si="37"/>
        <v>78</v>
      </c>
      <c r="AT79" s="25" t="b">
        <f t="shared" si="38"/>
        <v>0</v>
      </c>
      <c r="AU79" s="25" t="b">
        <f t="shared" si="39"/>
        <v>0</v>
      </c>
      <c r="AV79" s="25">
        <f t="shared" si="40"/>
        <v>78</v>
      </c>
      <c r="AW79" s="25" t="b">
        <f t="shared" si="41"/>
        <v>0</v>
      </c>
      <c r="BL79" s="28">
        <v>0.56</v>
      </c>
      <c r="BM79" s="28">
        <f t="shared" si="42"/>
        <v>0.8852928099999999</v>
      </c>
      <c r="BX79" s="39"/>
      <c r="CL79" s="44"/>
      <c r="DK79" s="49">
        <v>3</v>
      </c>
      <c r="DL79" s="18" t="s">
        <v>1551</v>
      </c>
      <c r="DM79" s="18" t="str">
        <f>SUBSTITUTE(DM78,",",".")</f>
        <v>-38</v>
      </c>
      <c r="DN79" s="18" t="s">
        <v>870</v>
      </c>
      <c r="DO79" s="25"/>
      <c r="DP79" s="18"/>
      <c r="DQ79" s="18"/>
      <c r="DR79" s="18"/>
      <c r="DS79" s="18"/>
      <c r="DT79" s="18"/>
      <c r="DU79" s="18"/>
      <c r="DV79" s="18"/>
      <c r="DX79" s="49"/>
      <c r="DY79" s="18"/>
      <c r="DZ79" s="18"/>
      <c r="EA79" s="18"/>
      <c r="EC79" s="18"/>
      <c r="ED79" s="18"/>
      <c r="EK79" s="49"/>
      <c r="EL79" s="18"/>
      <c r="EM79" s="18"/>
      <c r="EN79" s="18"/>
      <c r="EO79" s="25"/>
      <c r="EP79" s="18"/>
      <c r="EQ79" s="18"/>
    </row>
    <row r="80" spans="10:147" ht="15.75" customHeight="1">
      <c r="J80" s="87"/>
      <c r="Z80" s="98"/>
      <c r="AC80" s="120"/>
      <c r="AF80" s="4">
        <v>79</v>
      </c>
      <c r="AG80" s="4">
        <v>3</v>
      </c>
      <c r="AH80" s="4">
        <v>3</v>
      </c>
      <c r="AI80" s="4">
        <v>1</v>
      </c>
      <c r="AJ80" t="s">
        <v>1975</v>
      </c>
      <c r="AK80">
        <v>8</v>
      </c>
      <c r="AL80">
        <v>4.5</v>
      </c>
      <c r="AM80">
        <v>3</v>
      </c>
      <c r="AN80">
        <v>1</v>
      </c>
      <c r="AO80">
        <v>16.5</v>
      </c>
      <c r="AP80">
        <v>63</v>
      </c>
      <c r="AQ80">
        <v>5.8</v>
      </c>
      <c r="AS80" s="38">
        <f t="shared" si="37"/>
        <v>79</v>
      </c>
      <c r="AT80" s="25" t="b">
        <f t="shared" si="38"/>
        <v>0</v>
      </c>
      <c r="AU80" s="25" t="b">
        <f t="shared" si="39"/>
        <v>0</v>
      </c>
      <c r="AV80" s="25">
        <f t="shared" si="40"/>
        <v>79</v>
      </c>
      <c r="AW80" s="25" t="b">
        <f t="shared" si="41"/>
        <v>0</v>
      </c>
      <c r="BL80" s="28">
        <v>0.63</v>
      </c>
      <c r="BM80" s="28">
        <f t="shared" si="42"/>
        <v>0.912673</v>
      </c>
      <c r="CL80" s="44"/>
      <c r="DK80" s="49"/>
      <c r="DL80" s="18"/>
      <c r="DM80" s="18"/>
      <c r="DN80" s="18"/>
      <c r="DO80" s="18"/>
      <c r="DP80" s="18"/>
      <c r="DQ80" s="18"/>
      <c r="DR80" s="18"/>
      <c r="DS80" s="18"/>
      <c r="DT80" s="18"/>
      <c r="DU80" s="18"/>
      <c r="DV80" s="18"/>
      <c r="DX80" s="49"/>
      <c r="DY80" s="18"/>
      <c r="DZ80" s="18"/>
      <c r="EA80" s="18"/>
      <c r="EB80" s="18"/>
      <c r="EC80" s="18"/>
      <c r="ED80" s="18"/>
      <c r="EK80" s="49"/>
      <c r="EL80" s="18"/>
      <c r="EM80" s="18"/>
      <c r="EN80" s="18"/>
      <c r="EO80" s="18"/>
      <c r="EP80" s="18"/>
      <c r="EQ80" s="18"/>
    </row>
    <row r="81" spans="10:147" ht="15.75" customHeight="1">
      <c r="J81" s="87"/>
      <c r="Z81" s="98"/>
      <c r="AC81" s="120"/>
      <c r="AF81" s="4">
        <v>80</v>
      </c>
      <c r="AG81" s="4">
        <v>3</v>
      </c>
      <c r="AH81" s="4">
        <v>3</v>
      </c>
      <c r="AI81" s="4">
        <v>1</v>
      </c>
      <c r="AJ81" t="s">
        <v>1976</v>
      </c>
      <c r="AK81">
        <v>8</v>
      </c>
      <c r="AL81">
        <v>4.5</v>
      </c>
      <c r="AM81">
        <v>3</v>
      </c>
      <c r="AN81">
        <v>1</v>
      </c>
      <c r="AO81">
        <v>13.5</v>
      </c>
      <c r="AP81">
        <v>63</v>
      </c>
      <c r="AQ81">
        <v>5.8</v>
      </c>
      <c r="AS81" s="38">
        <f t="shared" si="37"/>
        <v>80</v>
      </c>
      <c r="AT81" s="25" t="b">
        <f t="shared" si="38"/>
        <v>0</v>
      </c>
      <c r="AU81" s="25" t="b">
        <f t="shared" si="39"/>
        <v>0</v>
      </c>
      <c r="AV81" s="25">
        <f t="shared" si="40"/>
        <v>80</v>
      </c>
      <c r="AW81" s="25" t="b">
        <f t="shared" si="41"/>
        <v>0</v>
      </c>
      <c r="BL81" s="28">
        <v>0.71</v>
      </c>
      <c r="BM81" s="28">
        <f t="shared" si="42"/>
        <v>0.9409</v>
      </c>
      <c r="BX81" s="39">
        <v>26</v>
      </c>
      <c r="BY81" s="45">
        <f>LOOKUP(BV$54,BZ$5:DJ$5,BZ81:DJ81)</f>
        <v>0</v>
      </c>
      <c r="BZ81" s="45"/>
      <c r="CF81" s="44" t="str">
        <f>CONCATENATE(BX81,DL94,DM94,DN94)</f>
        <v>26 CP IPA+360 IZ+3 DR+</v>
      </c>
      <c r="CJ81" s="44" t="str">
        <f>CONCATENATE(BX81,EY121)</f>
        <v>26 FN 12: IF +Q2 LT +Q1 GOTO LBL 101</v>
      </c>
      <c r="CK81" s="4" t="str">
        <f>CG45</f>
        <v>G00 Z-1.</v>
      </c>
      <c r="CL81" s="44" t="str">
        <f>CONCATENATE(BX81,DL85,DM85)</f>
        <v>26 CC IX+0 IY+2</v>
      </c>
      <c r="CP81" s="44" t="str">
        <f>CONCATENATE(BX81,FI148)</f>
        <v>26 FN 12: IF +Q2 LT +Q1 GOTO LBL 102</v>
      </c>
      <c r="CQ81" s="44" t="str">
        <f>CQ51</f>
        <v>#2=0</v>
      </c>
      <c r="CR81" s="152" t="str">
        <f>CP81</f>
        <v>26 FN 12: IF +Q2 LT +Q1 GOTO LBL 102</v>
      </c>
      <c r="CV81" s="152" t="str">
        <f>CONCATENATE(BX81,FN103,FV24,DN82,FX24)</f>
        <v>26 CC IX+4.046 IY-0.023</v>
      </c>
      <c r="CW81" s="44" t="str">
        <f>CS27</f>
        <v>G03 X4.092 Y4.069 Z0.75 I0.023 J4.069</v>
      </c>
      <c r="CX81" s="152" t="str">
        <f>CONCATENATE(BX81,FN103,GV51,DN82,GX51)</f>
        <v>26 CC IX+3.722 IY-0.023</v>
      </c>
      <c r="DD81" s="44" t="str">
        <f>DB45</f>
        <v>END1</v>
      </c>
      <c r="DG81" s="44" t="str">
        <f>DA54</f>
        <v>G03 X2. C2. Z0.375 I0. J2.</v>
      </c>
      <c r="DJ81" s="44" t="str">
        <f>DH27</f>
        <v>G03 X4.046 C-4.069 Z0.75 I4.046 J-0.023</v>
      </c>
      <c r="DK81" s="48"/>
      <c r="DL81" s="25"/>
      <c r="DM81" s="18">
        <f>BR57</f>
        <v>2</v>
      </c>
      <c r="DN81" s="25"/>
      <c r="DO81" s="18">
        <f>-BR57</f>
        <v>-2</v>
      </c>
      <c r="DP81" s="25"/>
      <c r="DQ81" s="25"/>
      <c r="DR81" s="18"/>
      <c r="DS81" s="18"/>
      <c r="DT81" s="18"/>
      <c r="DU81" s="18"/>
      <c r="DV81" s="18"/>
      <c r="DZ81" s="18"/>
      <c r="EB81" s="18"/>
      <c r="EK81" s="48"/>
      <c r="EL81" s="25"/>
      <c r="EM81" s="18"/>
      <c r="EN81" s="25"/>
      <c r="EO81" s="18"/>
      <c r="EP81" s="25"/>
      <c r="EQ81" s="25"/>
    </row>
    <row r="82" spans="8:156" ht="15.75" customHeight="1">
      <c r="H82" s="18">
        <v>1</v>
      </c>
      <c r="I82" s="5" t="str">
        <f>LOOKUP(H$27,J$2:AD$2,J82:AD82)</f>
        <v>CNC program for Fanuc</v>
      </c>
      <c r="J82" s="88" t="s">
        <v>1060</v>
      </c>
      <c r="K82" s="45" t="s">
        <v>999</v>
      </c>
      <c r="L82" s="45" t="s">
        <v>1173</v>
      </c>
      <c r="M82" s="45" t="s">
        <v>1038</v>
      </c>
      <c r="N82" s="45" t="s">
        <v>781</v>
      </c>
      <c r="O82" s="45" t="s">
        <v>1784</v>
      </c>
      <c r="P82" s="34" t="s">
        <v>397</v>
      </c>
      <c r="Q82" s="45" t="s">
        <v>1098</v>
      </c>
      <c r="R82" s="45" t="s">
        <v>1846</v>
      </c>
      <c r="S82" s="45" t="s">
        <v>1309</v>
      </c>
      <c r="T82" s="34" t="s">
        <v>1545</v>
      </c>
      <c r="U82" s="45" t="s">
        <v>328</v>
      </c>
      <c r="V82" s="34" t="s">
        <v>1389</v>
      </c>
      <c r="W82" s="34" t="s">
        <v>533</v>
      </c>
      <c r="X82" s="34" t="s">
        <v>536</v>
      </c>
      <c r="Y82" s="45" t="s">
        <v>857</v>
      </c>
      <c r="Z82" s="98" t="s">
        <v>1491</v>
      </c>
      <c r="AA82" s="112" t="s">
        <v>1531</v>
      </c>
      <c r="AB82" s="45" t="s">
        <v>486</v>
      </c>
      <c r="AC82" s="120" t="s">
        <v>193</v>
      </c>
      <c r="AD82" s="109" t="s">
        <v>266</v>
      </c>
      <c r="AF82" s="4">
        <v>81</v>
      </c>
      <c r="AG82" s="4">
        <v>3</v>
      </c>
      <c r="AH82" s="4">
        <v>3</v>
      </c>
      <c r="AI82" s="4">
        <v>1</v>
      </c>
      <c r="AJ82" t="s">
        <v>1977</v>
      </c>
      <c r="AK82">
        <v>8</v>
      </c>
      <c r="AL82">
        <v>4.5</v>
      </c>
      <c r="AM82">
        <v>3</v>
      </c>
      <c r="AN82">
        <v>1</v>
      </c>
      <c r="AO82">
        <v>10.5</v>
      </c>
      <c r="AP82">
        <v>63</v>
      </c>
      <c r="AQ82">
        <v>5.8</v>
      </c>
      <c r="AS82" s="38">
        <f t="shared" si="37"/>
        <v>81</v>
      </c>
      <c r="AT82" s="25" t="b">
        <f t="shared" si="38"/>
        <v>0</v>
      </c>
      <c r="AU82" s="25" t="b">
        <f t="shared" si="39"/>
        <v>0</v>
      </c>
      <c r="AV82" s="25">
        <f t="shared" si="40"/>
        <v>81</v>
      </c>
      <c r="AW82" s="25" t="b">
        <f t="shared" si="41"/>
        <v>0</v>
      </c>
      <c r="BL82" s="28">
        <v>0.83</v>
      </c>
      <c r="BM82" s="28">
        <f t="shared" si="42"/>
        <v>0.97</v>
      </c>
      <c r="CL82" s="44"/>
      <c r="DK82" s="49">
        <v>4</v>
      </c>
      <c r="DL82" s="18" t="s">
        <v>1552</v>
      </c>
      <c r="DM82" s="18" t="str">
        <f>SUBSTITUTE(DM81,",",".")</f>
        <v>2</v>
      </c>
      <c r="DN82" s="18" t="s">
        <v>871</v>
      </c>
      <c r="DO82" s="18" t="str">
        <f>SUBSTITUTE(DO81,",",".")</f>
        <v>-2</v>
      </c>
      <c r="DP82" s="18" t="s">
        <v>1703</v>
      </c>
      <c r="DQ82" s="6">
        <f>C31</f>
        <v>156</v>
      </c>
      <c r="DR82" s="18"/>
      <c r="DS82" s="18"/>
      <c r="DT82" s="18"/>
      <c r="DU82" s="18"/>
      <c r="DV82" s="18"/>
      <c r="DX82" s="49">
        <v>4</v>
      </c>
      <c r="DY82" s="18" t="s">
        <v>1552</v>
      </c>
      <c r="DZ82" s="18" t="str">
        <f>EB12</f>
        <v>1.733</v>
      </c>
      <c r="EA82" s="18" t="s">
        <v>871</v>
      </c>
      <c r="EB82" s="18" t="str">
        <f>ED12</f>
        <v>-1.733</v>
      </c>
      <c r="EC82" s="18" t="s">
        <v>1703</v>
      </c>
      <c r="ED82" s="6">
        <f>BT62</f>
        <v>141</v>
      </c>
      <c r="EK82" s="49">
        <v>4</v>
      </c>
      <c r="EL82" s="18" t="s">
        <v>1552</v>
      </c>
      <c r="EM82" s="18" t="str">
        <f>EO12</f>
        <v>1.595</v>
      </c>
      <c r="EN82" s="18" t="s">
        <v>871</v>
      </c>
      <c r="EO82" s="18" t="str">
        <f>EQ12</f>
        <v>-1.595</v>
      </c>
      <c r="EP82" s="18" t="s">
        <v>1703</v>
      </c>
      <c r="EQ82" s="6">
        <f>BT68</f>
        <v>133</v>
      </c>
      <c r="EX82" s="49">
        <v>4</v>
      </c>
      <c r="EY82" s="146" t="s">
        <v>1606</v>
      </c>
      <c r="EZ82" s="146">
        <f>BR9</f>
        <v>1</v>
      </c>
    </row>
    <row r="83" spans="8:154" ht="15.75" customHeight="1">
      <c r="H83" s="18">
        <v>2</v>
      </c>
      <c r="I83" s="5" t="str">
        <f aca="true" t="shared" si="44" ref="I83:I88">LOOKUP(H$27,J$2:AD$2,J83:AD83)</f>
        <v>CNC program for Heidenhain</v>
      </c>
      <c r="J83" s="88" t="s">
        <v>1557</v>
      </c>
      <c r="K83" s="45" t="s">
        <v>1651</v>
      </c>
      <c r="L83" s="45" t="s">
        <v>1698</v>
      </c>
      <c r="M83" s="45" t="s">
        <v>1699</v>
      </c>
      <c r="N83" s="45" t="s">
        <v>1584</v>
      </c>
      <c r="O83" s="45" t="s">
        <v>1785</v>
      </c>
      <c r="P83" s="34" t="s">
        <v>1585</v>
      </c>
      <c r="Q83" s="45" t="s">
        <v>1586</v>
      </c>
      <c r="R83" s="45" t="s">
        <v>1847</v>
      </c>
      <c r="S83" s="45" t="s">
        <v>1587</v>
      </c>
      <c r="T83" s="34" t="s">
        <v>1699</v>
      </c>
      <c r="U83" s="45" t="s">
        <v>1588</v>
      </c>
      <c r="V83" s="34" t="s">
        <v>1589</v>
      </c>
      <c r="W83" s="34" t="s">
        <v>1593</v>
      </c>
      <c r="X83" s="34" t="s">
        <v>1590</v>
      </c>
      <c r="Y83" s="45" t="s">
        <v>1591</v>
      </c>
      <c r="Z83" s="98" t="s">
        <v>1592</v>
      </c>
      <c r="AA83" s="112" t="s">
        <v>1532</v>
      </c>
      <c r="AB83" s="45" t="s">
        <v>487</v>
      </c>
      <c r="AC83" s="120" t="s">
        <v>86</v>
      </c>
      <c r="AD83" s="109" t="s">
        <v>246</v>
      </c>
      <c r="AF83" s="4">
        <v>82</v>
      </c>
      <c r="AG83" s="4">
        <v>3</v>
      </c>
      <c r="AH83" s="4">
        <v>3</v>
      </c>
      <c r="AI83" s="4">
        <v>1</v>
      </c>
      <c r="AJ83" t="s">
        <v>1978</v>
      </c>
      <c r="AK83">
        <v>6</v>
      </c>
      <c r="AL83">
        <v>3</v>
      </c>
      <c r="AM83">
        <v>3</v>
      </c>
      <c r="AN83">
        <v>0.7</v>
      </c>
      <c r="AO83">
        <v>8.75</v>
      </c>
      <c r="AP83">
        <v>63</v>
      </c>
      <c r="AQ83">
        <v>3.8</v>
      </c>
      <c r="AS83" s="38">
        <f t="shared" si="37"/>
        <v>82</v>
      </c>
      <c r="AT83" s="25" t="b">
        <f t="shared" si="38"/>
        <v>0</v>
      </c>
      <c r="AU83" s="25" t="b">
        <f t="shared" si="39"/>
        <v>0</v>
      </c>
      <c r="AV83" s="25">
        <f t="shared" si="40"/>
        <v>82</v>
      </c>
      <c r="AW83" s="25" t="b">
        <f t="shared" si="41"/>
        <v>0</v>
      </c>
      <c r="BL83" s="29">
        <v>1</v>
      </c>
      <c r="BM83" s="28">
        <v>1</v>
      </c>
      <c r="CL83" s="44"/>
      <c r="DK83" s="49"/>
      <c r="DL83" s="18"/>
      <c r="DM83" s="18"/>
      <c r="DN83" s="18"/>
      <c r="DO83" s="18"/>
      <c r="DP83" s="18"/>
      <c r="DQ83" s="18"/>
      <c r="DR83" s="18"/>
      <c r="DS83" s="18"/>
      <c r="DT83" s="18"/>
      <c r="DU83" s="18"/>
      <c r="DV83" s="18"/>
      <c r="DX83" s="49"/>
      <c r="DY83" s="18"/>
      <c r="DZ83" s="18"/>
      <c r="EA83" s="18"/>
      <c r="EB83" s="18"/>
      <c r="EC83" s="18"/>
      <c r="ED83" s="18"/>
      <c r="EK83" s="49"/>
      <c r="EL83" s="18"/>
      <c r="EM83" s="18"/>
      <c r="EN83" s="18"/>
      <c r="EO83" s="18"/>
      <c r="EP83" s="18"/>
      <c r="EQ83" s="18"/>
      <c r="EX83" s="49"/>
    </row>
    <row r="84" spans="8:154" ht="15.75" customHeight="1">
      <c r="H84" s="18">
        <v>3</v>
      </c>
      <c r="I84" s="5" t="str">
        <f t="shared" si="44"/>
        <v>CNC program for Siemens</v>
      </c>
      <c r="J84" s="88" t="s">
        <v>1061</v>
      </c>
      <c r="K84" s="45" t="s">
        <v>1000</v>
      </c>
      <c r="L84" s="45" t="s">
        <v>1174</v>
      </c>
      <c r="M84" s="45" t="s">
        <v>710</v>
      </c>
      <c r="N84" s="45" t="s">
        <v>805</v>
      </c>
      <c r="O84" s="45" t="s">
        <v>1786</v>
      </c>
      <c r="P84" s="34" t="s">
        <v>398</v>
      </c>
      <c r="Q84" s="45" t="s">
        <v>1099</v>
      </c>
      <c r="R84" s="45" t="s">
        <v>1848</v>
      </c>
      <c r="S84" s="45" t="s">
        <v>1310</v>
      </c>
      <c r="T84" s="34" t="s">
        <v>710</v>
      </c>
      <c r="U84" s="45" t="s">
        <v>329</v>
      </c>
      <c r="V84" s="34" t="s">
        <v>1396</v>
      </c>
      <c r="W84" s="34" t="s">
        <v>535</v>
      </c>
      <c r="X84" s="34" t="s">
        <v>537</v>
      </c>
      <c r="Y84" s="45" t="s">
        <v>858</v>
      </c>
      <c r="Z84" s="98" t="s">
        <v>1492</v>
      </c>
      <c r="AA84" s="112" t="s">
        <v>1533</v>
      </c>
      <c r="AB84" s="45" t="s">
        <v>488</v>
      </c>
      <c r="AC84" s="120" t="s">
        <v>87</v>
      </c>
      <c r="AD84" s="109" t="s">
        <v>216</v>
      </c>
      <c r="AF84" s="4">
        <v>83</v>
      </c>
      <c r="AG84" s="4">
        <v>3</v>
      </c>
      <c r="AH84" s="4">
        <v>3</v>
      </c>
      <c r="AI84" s="4">
        <v>1</v>
      </c>
      <c r="AJ84" t="s">
        <v>1979</v>
      </c>
      <c r="AK84">
        <v>6</v>
      </c>
      <c r="AL84">
        <v>3</v>
      </c>
      <c r="AM84">
        <v>3</v>
      </c>
      <c r="AN84">
        <v>0.7</v>
      </c>
      <c r="AO84">
        <v>7.35</v>
      </c>
      <c r="AP84">
        <v>63</v>
      </c>
      <c r="AQ84">
        <v>3.8</v>
      </c>
      <c r="AS84" s="38">
        <f t="shared" si="37"/>
        <v>83</v>
      </c>
      <c r="AT84" s="25" t="b">
        <f t="shared" si="38"/>
        <v>0</v>
      </c>
      <c r="AU84" s="25" t="b">
        <f t="shared" si="39"/>
        <v>0</v>
      </c>
      <c r="AV84" s="25">
        <f t="shared" si="40"/>
        <v>83</v>
      </c>
      <c r="AW84" s="25" t="b">
        <f t="shared" si="41"/>
        <v>0</v>
      </c>
      <c r="BL84" s="29">
        <v>1.2</v>
      </c>
      <c r="BM84" s="28">
        <f>BM83*0.97</f>
        <v>0.97</v>
      </c>
      <c r="BX84" s="39">
        <v>27</v>
      </c>
      <c r="BY84" s="45">
        <f>LOOKUP(BV$54,BZ$5:DJ$5,BZ84:DJ84)</f>
        <v>0</v>
      </c>
      <c r="BZ84" s="45"/>
      <c r="CF84" s="44" t="str">
        <f>CONCATENATE(BX84,DL97,DM97,DN97)</f>
        <v>27 CC IX-2 IY+0</v>
      </c>
      <c r="CJ84" s="44" t="str">
        <f>CONCATENATE(BX84,DY106,EZ124,FA124,EA106)</f>
        <v>27 L IZ-1 FMAX</v>
      </c>
      <c r="CL84" s="44" t="str">
        <f>CONCATENATE(BX84,DL88,DM88,DN88)</f>
        <v>27 CP IPA+90 IZ+0.375 DR+</v>
      </c>
      <c r="CP84" s="44" t="str">
        <f>CONCATENATE(BX84,DL97,DM97,DN97)</f>
        <v>27 CC IX-2 IY+0</v>
      </c>
      <c r="CQ84" s="34" t="s">
        <v>989</v>
      </c>
      <c r="CR84" s="152" t="str">
        <f>CONCATENATE(BX84,EL124,EM124,EN124)</f>
        <v>27 CC IX-1.838 IY+0</v>
      </c>
      <c r="CV84" s="152" t="str">
        <f>CONCATENATE(BX84,DL88,FT24,DN88)</f>
        <v>27 CP IPA+90 IZ+0.75 DR+</v>
      </c>
      <c r="CW84" s="44" t="str">
        <f>CS30</f>
        <v>G03 X-2. Y2. Z0.375 I-2. J0.</v>
      </c>
      <c r="CX84" s="152" t="str">
        <f>CV84</f>
        <v>27 CP IPA+90 IZ+0.75 DR+</v>
      </c>
      <c r="DD84" s="44" t="str">
        <f>DB48</f>
        <v>G13.1</v>
      </c>
      <c r="DG84" s="44" t="str">
        <f>CQ81</f>
        <v>#2=0</v>
      </c>
      <c r="DJ84" s="44" t="str">
        <f>DH30</f>
        <v>G03 X4.092 C4.069 Z0.75 I0.023 J4.069</v>
      </c>
      <c r="DK84" s="48"/>
      <c r="DL84" s="25"/>
      <c r="DM84" s="25"/>
      <c r="DN84" s="25"/>
      <c r="DO84" s="25"/>
      <c r="DP84" s="25"/>
      <c r="DQ84" s="25"/>
      <c r="DV84" s="18"/>
      <c r="EK84" s="48"/>
      <c r="EL84" s="25"/>
      <c r="EM84" s="25"/>
      <c r="EN84" s="25"/>
      <c r="EO84" s="25"/>
      <c r="EP84" s="25"/>
      <c r="EQ84" s="25"/>
      <c r="EX84" s="48"/>
    </row>
    <row r="85" spans="8:155" ht="15.75" customHeight="1">
      <c r="H85" s="18">
        <v>4</v>
      </c>
      <c r="I85" s="5" t="str">
        <f t="shared" si="44"/>
        <v>CNC program for Num</v>
      </c>
      <c r="J85" s="89" t="s">
        <v>1062</v>
      </c>
      <c r="K85" s="44" t="s">
        <v>949</v>
      </c>
      <c r="L85" s="44" t="s">
        <v>1175</v>
      </c>
      <c r="M85" s="44" t="s">
        <v>852</v>
      </c>
      <c r="N85" s="44" t="s">
        <v>951</v>
      </c>
      <c r="O85" s="44" t="s">
        <v>1787</v>
      </c>
      <c r="P85" s="34" t="s">
        <v>457</v>
      </c>
      <c r="Q85" s="45" t="s">
        <v>1220</v>
      </c>
      <c r="R85" s="44" t="s">
        <v>1849</v>
      </c>
      <c r="S85" s="44" t="s">
        <v>1311</v>
      </c>
      <c r="T85" s="34" t="s">
        <v>852</v>
      </c>
      <c r="U85" s="44" t="s">
        <v>330</v>
      </c>
      <c r="V85" s="34" t="s">
        <v>1397</v>
      </c>
      <c r="W85" s="34" t="s">
        <v>562</v>
      </c>
      <c r="X85" s="34" t="s">
        <v>538</v>
      </c>
      <c r="Y85" s="44" t="s">
        <v>859</v>
      </c>
      <c r="Z85" s="98" t="s">
        <v>1493</v>
      </c>
      <c r="AA85" s="112" t="s">
        <v>1534</v>
      </c>
      <c r="AB85" s="44" t="s">
        <v>489</v>
      </c>
      <c r="AC85" s="120" t="s">
        <v>88</v>
      </c>
      <c r="AD85" s="109" t="s">
        <v>217</v>
      </c>
      <c r="AF85" s="4">
        <v>84</v>
      </c>
      <c r="AG85" s="4">
        <v>3</v>
      </c>
      <c r="AH85" s="4">
        <v>3</v>
      </c>
      <c r="AI85" s="4">
        <v>1</v>
      </c>
      <c r="AJ85" t="s">
        <v>1980</v>
      </c>
      <c r="AK85">
        <v>6</v>
      </c>
      <c r="AL85">
        <v>3</v>
      </c>
      <c r="AM85">
        <v>3</v>
      </c>
      <c r="AN85">
        <v>0.7</v>
      </c>
      <c r="AO85">
        <v>12.95</v>
      </c>
      <c r="AP85">
        <v>63</v>
      </c>
      <c r="AQ85">
        <v>3.8</v>
      </c>
      <c r="AS85" s="38">
        <f t="shared" si="37"/>
        <v>84</v>
      </c>
      <c r="AT85" s="25" t="b">
        <f t="shared" si="38"/>
        <v>0</v>
      </c>
      <c r="AU85" s="25" t="b">
        <f t="shared" si="39"/>
        <v>0</v>
      </c>
      <c r="AV85" s="25">
        <f t="shared" si="40"/>
        <v>84</v>
      </c>
      <c r="AW85" s="25" t="b">
        <f t="shared" si="41"/>
        <v>0</v>
      </c>
      <c r="BL85" s="29">
        <v>1.4</v>
      </c>
      <c r="BM85" s="28">
        <f aca="true" t="shared" si="45" ref="BM85:BM93">BM84*0.97</f>
        <v>0.9409</v>
      </c>
      <c r="BX85" s="39"/>
      <c r="CL85" s="44"/>
      <c r="DK85" s="49">
        <v>5</v>
      </c>
      <c r="DL85" s="18" t="s">
        <v>1553</v>
      </c>
      <c r="DM85" s="18" t="str">
        <f>DM82</f>
        <v>2</v>
      </c>
      <c r="DN85" s="18"/>
      <c r="DO85" s="18"/>
      <c r="DP85" s="18"/>
      <c r="DQ85" s="18"/>
      <c r="DV85" s="18"/>
      <c r="DX85" s="49">
        <v>5</v>
      </c>
      <c r="DY85" s="18" t="s">
        <v>1553</v>
      </c>
      <c r="DZ85" s="18" t="str">
        <f>DZ82</f>
        <v>1.733</v>
      </c>
      <c r="EA85" s="18"/>
      <c r="EB85" s="18"/>
      <c r="EC85" s="18"/>
      <c r="ED85" s="18"/>
      <c r="EK85" s="49">
        <v>5</v>
      </c>
      <c r="EL85" s="18" t="s">
        <v>1553</v>
      </c>
      <c r="EM85" s="18" t="str">
        <f>EM82</f>
        <v>1.595</v>
      </c>
      <c r="EN85" s="18"/>
      <c r="EO85" s="18"/>
      <c r="EP85" s="18"/>
      <c r="EQ85" s="18"/>
      <c r="EX85" s="49">
        <v>5</v>
      </c>
      <c r="EY85" s="146" t="s">
        <v>22</v>
      </c>
    </row>
    <row r="86" spans="8:147" ht="15.75" customHeight="1">
      <c r="H86" s="18">
        <v>5</v>
      </c>
      <c r="I86" s="5" t="str">
        <f t="shared" si="44"/>
        <v>CNC program for Fagor</v>
      </c>
      <c r="J86" s="89" t="s">
        <v>1063</v>
      </c>
      <c r="K86" s="44" t="s">
        <v>945</v>
      </c>
      <c r="L86" s="44" t="s">
        <v>1176</v>
      </c>
      <c r="M86" s="44" t="s">
        <v>853</v>
      </c>
      <c r="N86" s="44" t="s">
        <v>897</v>
      </c>
      <c r="O86" s="44" t="s">
        <v>1788</v>
      </c>
      <c r="P86" s="34" t="s">
        <v>458</v>
      </c>
      <c r="Q86" s="45" t="s">
        <v>1146</v>
      </c>
      <c r="R86" s="44" t="s">
        <v>1850</v>
      </c>
      <c r="S86" s="44" t="s">
        <v>1312</v>
      </c>
      <c r="T86" s="34" t="s">
        <v>853</v>
      </c>
      <c r="U86" s="44" t="s">
        <v>385</v>
      </c>
      <c r="V86" s="34" t="s">
        <v>1343</v>
      </c>
      <c r="W86" s="34" t="s">
        <v>565</v>
      </c>
      <c r="X86" s="34" t="s">
        <v>539</v>
      </c>
      <c r="Y86" s="44" t="s">
        <v>828</v>
      </c>
      <c r="Z86" s="98" t="s">
        <v>1348</v>
      </c>
      <c r="AA86" s="112" t="s">
        <v>1535</v>
      </c>
      <c r="AB86" s="44" t="s">
        <v>490</v>
      </c>
      <c r="AC86" s="120" t="s">
        <v>89</v>
      </c>
      <c r="AD86" s="109" t="s">
        <v>218</v>
      </c>
      <c r="AF86" s="4">
        <v>85</v>
      </c>
      <c r="AG86" s="4">
        <v>3</v>
      </c>
      <c r="AH86" s="4">
        <v>3</v>
      </c>
      <c r="AI86" s="4">
        <v>1</v>
      </c>
      <c r="AJ86" t="s">
        <v>1981</v>
      </c>
      <c r="AK86">
        <v>6</v>
      </c>
      <c r="AL86">
        <v>3</v>
      </c>
      <c r="AM86">
        <v>3</v>
      </c>
      <c r="AN86">
        <v>0.7</v>
      </c>
      <c r="AO86">
        <v>10.85</v>
      </c>
      <c r="AP86">
        <v>63</v>
      </c>
      <c r="AQ86">
        <v>3.8</v>
      </c>
      <c r="AS86" s="38">
        <f t="shared" si="37"/>
        <v>85</v>
      </c>
      <c r="AT86" s="25" t="b">
        <f t="shared" si="38"/>
        <v>0</v>
      </c>
      <c r="AU86" s="25" t="b">
        <f t="shared" si="39"/>
        <v>0</v>
      </c>
      <c r="AV86" s="25">
        <f t="shared" si="40"/>
        <v>85</v>
      </c>
      <c r="AW86" s="25" t="b">
        <f t="shared" si="41"/>
        <v>0</v>
      </c>
      <c r="BL86" s="29">
        <v>1.6</v>
      </c>
      <c r="BM86" s="28">
        <f t="shared" si="45"/>
        <v>0.912673</v>
      </c>
      <c r="CL86" s="44"/>
      <c r="DK86" s="49"/>
      <c r="DL86" s="18"/>
      <c r="DM86" s="18"/>
      <c r="DN86" s="18"/>
      <c r="DO86" s="18"/>
      <c r="DP86" s="18"/>
      <c r="DQ86" s="18"/>
      <c r="DV86" s="18"/>
      <c r="DX86" s="49"/>
      <c r="DY86" s="18"/>
      <c r="DZ86" s="18"/>
      <c r="EA86" s="18"/>
      <c r="EB86" s="18"/>
      <c r="EC86" s="18"/>
      <c r="ED86" s="18"/>
      <c r="EK86" s="49"/>
      <c r="EL86" s="18"/>
      <c r="EM86" s="18"/>
      <c r="EN86" s="18"/>
      <c r="EO86" s="18"/>
      <c r="EP86" s="18"/>
      <c r="EQ86" s="18"/>
    </row>
    <row r="87" spans="8:147" ht="15.75" customHeight="1">
      <c r="H87" s="18">
        <v>6</v>
      </c>
      <c r="I87" s="5" t="str">
        <f t="shared" si="44"/>
        <v>CNC program for Mazak</v>
      </c>
      <c r="J87" s="89" t="s">
        <v>1064</v>
      </c>
      <c r="K87" s="44" t="s">
        <v>1046</v>
      </c>
      <c r="L87" s="44" t="s">
        <v>1177</v>
      </c>
      <c r="M87" s="44" t="s">
        <v>746</v>
      </c>
      <c r="N87" s="44" t="s">
        <v>801</v>
      </c>
      <c r="O87" s="44" t="s">
        <v>1789</v>
      </c>
      <c r="P87" s="34" t="s">
        <v>459</v>
      </c>
      <c r="Q87" s="45" t="s">
        <v>1147</v>
      </c>
      <c r="R87" s="44" t="s">
        <v>1851</v>
      </c>
      <c r="S87" s="44" t="s">
        <v>1313</v>
      </c>
      <c r="T87" s="34" t="s">
        <v>1449</v>
      </c>
      <c r="U87" s="44" t="s">
        <v>386</v>
      </c>
      <c r="V87" s="34" t="s">
        <v>1344</v>
      </c>
      <c r="W87" s="34" t="s">
        <v>566</v>
      </c>
      <c r="X87" s="34" t="s">
        <v>599</v>
      </c>
      <c r="Y87" s="44" t="s">
        <v>829</v>
      </c>
      <c r="Z87" s="98" t="s">
        <v>1349</v>
      </c>
      <c r="AA87" s="112" t="s">
        <v>1536</v>
      </c>
      <c r="AB87" s="44" t="s">
        <v>491</v>
      </c>
      <c r="AC87" s="120" t="s">
        <v>90</v>
      </c>
      <c r="AD87" s="109" t="s">
        <v>219</v>
      </c>
      <c r="AF87" s="4">
        <v>86</v>
      </c>
      <c r="AG87" s="4">
        <v>3</v>
      </c>
      <c r="AH87" s="4">
        <v>3</v>
      </c>
      <c r="AI87" s="4">
        <v>1</v>
      </c>
      <c r="AJ87" t="s">
        <v>1982</v>
      </c>
      <c r="AK87">
        <v>6</v>
      </c>
      <c r="AL87">
        <v>3.8</v>
      </c>
      <c r="AM87">
        <v>3</v>
      </c>
      <c r="AN87">
        <v>0.8</v>
      </c>
      <c r="AO87">
        <v>8.4</v>
      </c>
      <c r="AP87">
        <v>63</v>
      </c>
      <c r="AQ87">
        <v>4.8</v>
      </c>
      <c r="AS87" s="38">
        <f t="shared" si="37"/>
        <v>86</v>
      </c>
      <c r="AT87" s="25" t="b">
        <f t="shared" si="38"/>
        <v>0</v>
      </c>
      <c r="AU87" s="25" t="b">
        <f t="shared" si="39"/>
        <v>0</v>
      </c>
      <c r="AV87" s="25">
        <f t="shared" si="40"/>
        <v>86</v>
      </c>
      <c r="AW87" s="25" t="b">
        <f t="shared" si="41"/>
        <v>0</v>
      </c>
      <c r="BL87" s="29">
        <v>1.8</v>
      </c>
      <c r="BM87" s="28">
        <f t="shared" si="45"/>
        <v>0.8852928099999999</v>
      </c>
      <c r="BX87" s="39">
        <v>28</v>
      </c>
      <c r="BY87" s="45">
        <f>LOOKUP(BV$54,BZ$5:DJ$5,BZ87:DJ87)</f>
        <v>0</v>
      </c>
      <c r="BZ87" s="45"/>
      <c r="CF87" s="44" t="str">
        <f>CONCATENATE(BX87,DL100,DM100,DN100)</f>
        <v>28 CP IPA+90 IZ+0.375 DR+</v>
      </c>
      <c r="CL87" s="44" t="str">
        <f>CONCATENATE(BX87,DL91,DM91,DN91)</f>
        <v>28 CC IX-4 IY+0</v>
      </c>
      <c r="CP87" s="44" t="str">
        <f>CONCATENATE(BX87,DL100,DM100,DN100)</f>
        <v>28 CP IPA+90 IZ+0.375 DR+</v>
      </c>
      <c r="CQ87" s="44" t="str">
        <f>CE54</f>
        <v>G03 X0. Y0. Z3. I-4. J0.</v>
      </c>
      <c r="CR87" s="152" t="str">
        <f>CP87</f>
        <v>28 CP IPA+90 IZ+0.375 DR+</v>
      </c>
      <c r="CV87" s="152" t="str">
        <f>CONCATENATE(BX87,FN103,FV27,FN91,FX27)</f>
        <v>28 CC IX+0.023 IY+4.069</v>
      </c>
      <c r="CW87" s="44" t="str">
        <f>CS33</f>
        <v>G01 G40 X-2.092 Y-2.</v>
      </c>
      <c r="CX87" s="152" t="str">
        <f>CONCATENATE(BX87,FN103,GV54,FN91,GX54)</f>
        <v>28 CC IX+0.023 IY+3.745</v>
      </c>
      <c r="DD87" s="44" t="str">
        <f>DB51</f>
        <v>G00 Z-1.</v>
      </c>
      <c r="DG87" s="44" t="str">
        <f>CQ84</f>
        <v>WHILE[#2LT#1]DO3</v>
      </c>
      <c r="DJ87" s="44" t="str">
        <f>DH33</f>
        <v>G03 X-2. C2. Z0.375 I-2. J0.</v>
      </c>
      <c r="DK87" s="48"/>
      <c r="DL87" s="25"/>
      <c r="DM87" s="18">
        <f>ROUND(BN6/8,3)</f>
        <v>0.375</v>
      </c>
      <c r="DN87" s="25"/>
      <c r="DO87" s="25"/>
      <c r="DP87" s="25"/>
      <c r="DQ87" s="25"/>
      <c r="DV87" s="18"/>
      <c r="DZ87" s="18"/>
      <c r="EK87" s="48"/>
      <c r="EL87" s="25"/>
      <c r="EM87" s="18"/>
      <c r="EN87" s="25"/>
      <c r="EO87" s="25"/>
      <c r="EP87" s="25"/>
      <c r="EQ87" s="25"/>
    </row>
    <row r="88" spans="8:155" ht="15.75" customHeight="1">
      <c r="H88" s="18">
        <v>7</v>
      </c>
      <c r="I88" s="5" t="str">
        <f t="shared" si="44"/>
        <v>CNC program for Mitsubishi</v>
      </c>
      <c r="J88" s="89" t="s">
        <v>1065</v>
      </c>
      <c r="K88" s="44" t="s">
        <v>1047</v>
      </c>
      <c r="L88" s="44" t="s">
        <v>1178</v>
      </c>
      <c r="M88" s="44" t="s">
        <v>645</v>
      </c>
      <c r="N88" s="44" t="s">
        <v>776</v>
      </c>
      <c r="O88" s="44" t="s">
        <v>1790</v>
      </c>
      <c r="P88" s="34" t="s">
        <v>460</v>
      </c>
      <c r="Q88" s="45" t="s">
        <v>1141</v>
      </c>
      <c r="R88" s="44" t="s">
        <v>1852</v>
      </c>
      <c r="S88" s="44" t="s">
        <v>1314</v>
      </c>
      <c r="T88" s="34" t="s">
        <v>645</v>
      </c>
      <c r="U88" s="44" t="s">
        <v>387</v>
      </c>
      <c r="V88" s="34" t="s">
        <v>1345</v>
      </c>
      <c r="W88" s="34" t="s">
        <v>567</v>
      </c>
      <c r="X88" s="34" t="s">
        <v>600</v>
      </c>
      <c r="Y88" s="44" t="s">
        <v>936</v>
      </c>
      <c r="Z88" s="98" t="s">
        <v>1457</v>
      </c>
      <c r="AA88" s="112" t="s">
        <v>1629</v>
      </c>
      <c r="AB88" s="44" t="s">
        <v>406</v>
      </c>
      <c r="AC88" s="120" t="s">
        <v>91</v>
      </c>
      <c r="AD88" s="109" t="s">
        <v>220</v>
      </c>
      <c r="AF88" s="4">
        <v>87</v>
      </c>
      <c r="AG88" s="4">
        <v>3</v>
      </c>
      <c r="AH88" s="4">
        <v>3</v>
      </c>
      <c r="AI88" s="4">
        <v>1</v>
      </c>
      <c r="AJ88" t="s">
        <v>1983</v>
      </c>
      <c r="AK88">
        <v>6</v>
      </c>
      <c r="AL88">
        <v>3.8</v>
      </c>
      <c r="AM88">
        <v>3</v>
      </c>
      <c r="AN88">
        <v>0.8</v>
      </c>
      <c r="AO88">
        <v>16.4</v>
      </c>
      <c r="AP88">
        <v>63</v>
      </c>
      <c r="AQ88">
        <v>4.8</v>
      </c>
      <c r="AS88" s="38">
        <f t="shared" si="37"/>
        <v>87</v>
      </c>
      <c r="AT88" s="25" t="b">
        <f t="shared" si="38"/>
        <v>0</v>
      </c>
      <c r="AU88" s="25" t="b">
        <f t="shared" si="39"/>
        <v>0</v>
      </c>
      <c r="AV88" s="25">
        <f t="shared" si="40"/>
        <v>87</v>
      </c>
      <c r="AW88" s="25" t="b">
        <f t="shared" si="41"/>
        <v>0</v>
      </c>
      <c r="BL88" s="29">
        <v>2</v>
      </c>
      <c r="BM88" s="28">
        <f t="shared" si="45"/>
        <v>0.8587340256999999</v>
      </c>
      <c r="CL88" s="44"/>
      <c r="DK88" s="49">
        <v>6</v>
      </c>
      <c r="DL88" s="18" t="s">
        <v>1554</v>
      </c>
      <c r="DM88" s="18" t="str">
        <f>SUBSTITUTE(DM87,",",".")</f>
        <v>0.375</v>
      </c>
      <c r="DN88" s="18" t="s">
        <v>586</v>
      </c>
      <c r="DO88" s="18"/>
      <c r="DP88" s="25"/>
      <c r="DQ88" s="25"/>
      <c r="DV88" s="18"/>
      <c r="DX88" s="49"/>
      <c r="DY88" s="18"/>
      <c r="DZ88" s="18"/>
      <c r="EA88" s="18"/>
      <c r="EB88" s="18"/>
      <c r="EK88" s="49"/>
      <c r="EL88" s="18"/>
      <c r="EM88" s="18"/>
      <c r="EN88" s="18"/>
      <c r="EO88" s="18"/>
      <c r="EP88" s="25"/>
      <c r="EQ88" s="25"/>
      <c r="EX88" s="49">
        <v>6</v>
      </c>
      <c r="EY88" s="146" t="s">
        <v>1607</v>
      </c>
    </row>
    <row r="89" spans="10:147" ht="15.75" customHeight="1">
      <c r="J89" s="87"/>
      <c r="Z89" s="98"/>
      <c r="AC89" s="120"/>
      <c r="AF89" s="4">
        <v>88</v>
      </c>
      <c r="AG89" s="4">
        <v>3</v>
      </c>
      <c r="AH89" s="4">
        <v>3</v>
      </c>
      <c r="AI89" s="4">
        <v>1</v>
      </c>
      <c r="AJ89" t="s">
        <v>1984</v>
      </c>
      <c r="AK89">
        <v>6</v>
      </c>
      <c r="AL89">
        <v>3.8</v>
      </c>
      <c r="AM89">
        <v>3</v>
      </c>
      <c r="AN89">
        <v>0.8</v>
      </c>
      <c r="AO89">
        <v>13.2</v>
      </c>
      <c r="AP89">
        <v>63</v>
      </c>
      <c r="AQ89">
        <v>4.8</v>
      </c>
      <c r="AS89" s="38">
        <f t="shared" si="37"/>
        <v>88</v>
      </c>
      <c r="AT89" s="25" t="b">
        <f t="shared" si="38"/>
        <v>0</v>
      </c>
      <c r="AU89" s="25" t="b">
        <f t="shared" si="39"/>
        <v>0</v>
      </c>
      <c r="AV89" s="25">
        <f t="shared" si="40"/>
        <v>88</v>
      </c>
      <c r="AW89" s="25" t="b">
        <f t="shared" si="41"/>
        <v>0</v>
      </c>
      <c r="BL89" s="29">
        <v>2.2</v>
      </c>
      <c r="BM89" s="28">
        <f t="shared" si="45"/>
        <v>0.8329720049289999</v>
      </c>
      <c r="CL89" s="44"/>
      <c r="DK89" s="49"/>
      <c r="DL89" s="18"/>
      <c r="DM89" s="18"/>
      <c r="DN89" s="18"/>
      <c r="DO89" s="18"/>
      <c r="DP89" s="18"/>
      <c r="DQ89" s="18"/>
      <c r="DV89" s="18"/>
      <c r="DX89" s="49"/>
      <c r="DY89" s="18"/>
      <c r="DZ89" s="18"/>
      <c r="EA89" s="18"/>
      <c r="EB89" s="18"/>
      <c r="EC89" s="18"/>
      <c r="ED89" s="18"/>
      <c r="EK89" s="49"/>
      <c r="EL89" s="18"/>
      <c r="EM89" s="18"/>
      <c r="EN89" s="18"/>
      <c r="EO89" s="18"/>
      <c r="EP89" s="18"/>
      <c r="EQ89" s="18"/>
    </row>
    <row r="90" spans="10:147" ht="15.75" customHeight="1">
      <c r="J90" s="87"/>
      <c r="Z90" s="98"/>
      <c r="AC90" s="120"/>
      <c r="AF90" s="4">
        <v>89</v>
      </c>
      <c r="AG90" s="4">
        <v>3</v>
      </c>
      <c r="AH90" s="4">
        <v>3</v>
      </c>
      <c r="AI90" s="4">
        <v>1</v>
      </c>
      <c r="AJ90" t="s">
        <v>1985</v>
      </c>
      <c r="AK90">
        <v>6</v>
      </c>
      <c r="AL90">
        <v>3.8</v>
      </c>
      <c r="AM90">
        <v>3</v>
      </c>
      <c r="AN90">
        <v>0.8</v>
      </c>
      <c r="AO90">
        <v>10.8</v>
      </c>
      <c r="AP90">
        <v>63</v>
      </c>
      <c r="AQ90">
        <v>4.8</v>
      </c>
      <c r="AS90" s="38">
        <f t="shared" si="37"/>
        <v>89</v>
      </c>
      <c r="AT90" s="25" t="b">
        <f t="shared" si="38"/>
        <v>0</v>
      </c>
      <c r="AU90" s="25" t="b">
        <f t="shared" si="39"/>
        <v>0</v>
      </c>
      <c r="AV90" s="25">
        <f t="shared" si="40"/>
        <v>89</v>
      </c>
      <c r="AW90" s="25" t="b">
        <f t="shared" si="41"/>
        <v>0</v>
      </c>
      <c r="BL90" s="29">
        <v>2.4</v>
      </c>
      <c r="BM90" s="28">
        <f t="shared" si="45"/>
        <v>0.8079828447811299</v>
      </c>
      <c r="BX90" s="39">
        <v>29</v>
      </c>
      <c r="BY90" s="45">
        <f>LOOKUP(BV$54,BZ$5:DJ$5,BZ90:DJ90)</f>
        <v>0</v>
      </c>
      <c r="BZ90" s="45"/>
      <c r="CF90" s="44" t="str">
        <f>CONCATENATE(BX90,DL103,DM103,DN103,DO103,DP103)</f>
        <v>29 L IX-2 IY-2 R0</v>
      </c>
      <c r="CL90" s="44" t="str">
        <f>CONCATENATE(BX90,DL94,DM94,DN94)</f>
        <v>29 CP IPA+360 IZ+3 DR+</v>
      </c>
      <c r="CP90" s="44" t="str">
        <f>CONCATENATE(BX90,DL103,DM103,DN103,DO103,DP103)</f>
        <v>29 L IX-2 IY-2 R0</v>
      </c>
      <c r="CQ90" s="44" t="str">
        <f>CQ60</f>
        <v>#2=#2+1</v>
      </c>
      <c r="CR90" s="152" t="str">
        <f>CONCATENATE(BX90,EL130,EM130,EN130,EO130,EP130)</f>
        <v>29 L IX-1.838 IY-1.838 R0</v>
      </c>
      <c r="CV90" s="152" t="str">
        <f>CONCATENATE(BX90,DL88,FT27,DN88)</f>
        <v>29 CP IPA+90 IZ+0.75 DR+</v>
      </c>
      <c r="CW90" s="44" t="str">
        <f>CS36</f>
        <v>G00 Z34.25</v>
      </c>
      <c r="CX90" s="152" t="str">
        <f>CV90</f>
        <v>29 CP IPA+90 IZ+0.75 DR+</v>
      </c>
      <c r="DG90" s="44" t="str">
        <f>DA57</f>
        <v>G03 X0. C0. Z3. I-4. J0.</v>
      </c>
      <c r="DJ90" s="44" t="str">
        <f>DH36</f>
        <v>G01 G40 X-2.092 C-2.</v>
      </c>
      <c r="DK90" s="48"/>
      <c r="DL90" s="25"/>
      <c r="DM90" s="18">
        <f>-(2*BR57)</f>
        <v>-4</v>
      </c>
      <c r="DN90" s="25"/>
      <c r="DO90" s="25"/>
      <c r="DP90" s="25"/>
      <c r="DQ90" s="25"/>
      <c r="DV90" s="18"/>
      <c r="DZ90" s="18"/>
      <c r="EK90" s="48"/>
      <c r="EL90" s="25"/>
      <c r="EM90" s="18"/>
      <c r="EN90" s="25"/>
      <c r="EO90" s="25"/>
      <c r="EP90" s="25"/>
      <c r="EQ90" s="25"/>
    </row>
    <row r="91" spans="9:170" ht="15.75" customHeight="1">
      <c r="I91" s="5" t="s">
        <v>2200</v>
      </c>
      <c r="J91" s="5" t="s">
        <v>2200</v>
      </c>
      <c r="K91" s="5" t="s">
        <v>2200</v>
      </c>
      <c r="L91" s="5" t="s">
        <v>2200</v>
      </c>
      <c r="M91" s="5" t="s">
        <v>2200</v>
      </c>
      <c r="N91" s="5" t="s">
        <v>2200</v>
      </c>
      <c r="O91" s="5" t="s">
        <v>2200</v>
      </c>
      <c r="P91" s="5" t="s">
        <v>2200</v>
      </c>
      <c r="Q91" s="5" t="s">
        <v>2200</v>
      </c>
      <c r="R91" s="5" t="s">
        <v>2200</v>
      </c>
      <c r="S91" s="5" t="s">
        <v>2200</v>
      </c>
      <c r="T91" s="5" t="s">
        <v>2200</v>
      </c>
      <c r="U91" s="5" t="s">
        <v>2200</v>
      </c>
      <c r="V91" s="5" t="s">
        <v>2200</v>
      </c>
      <c r="W91" s="5" t="s">
        <v>2200</v>
      </c>
      <c r="X91" s="5" t="s">
        <v>2200</v>
      </c>
      <c r="Y91" s="5" t="s">
        <v>2200</v>
      </c>
      <c r="Z91" s="5" t="s">
        <v>2200</v>
      </c>
      <c r="AA91" s="5" t="s">
        <v>2200</v>
      </c>
      <c r="AB91" s="5" t="s">
        <v>2200</v>
      </c>
      <c r="AC91" s="5" t="s">
        <v>2200</v>
      </c>
      <c r="AD91" s="5" t="s">
        <v>2200</v>
      </c>
      <c r="AF91" s="4">
        <v>90</v>
      </c>
      <c r="AG91" s="4">
        <v>3</v>
      </c>
      <c r="AH91" s="4">
        <v>3</v>
      </c>
      <c r="AI91" s="4">
        <v>1</v>
      </c>
      <c r="AJ91" t="s">
        <v>1986</v>
      </c>
      <c r="AK91">
        <v>6</v>
      </c>
      <c r="AL91">
        <v>2.3</v>
      </c>
      <c r="AM91">
        <v>3</v>
      </c>
      <c r="AN91">
        <v>0.5</v>
      </c>
      <c r="AO91">
        <v>9.75</v>
      </c>
      <c r="AP91">
        <v>63</v>
      </c>
      <c r="AQ91">
        <v>2.8</v>
      </c>
      <c r="AS91" s="38">
        <f t="shared" si="37"/>
        <v>90</v>
      </c>
      <c r="AT91" s="25" t="b">
        <f t="shared" si="38"/>
        <v>0</v>
      </c>
      <c r="AU91" s="25" t="b">
        <f t="shared" si="39"/>
        <v>0</v>
      </c>
      <c r="AV91" s="25">
        <f t="shared" si="40"/>
        <v>90</v>
      </c>
      <c r="AW91" s="25" t="b">
        <f t="shared" si="41"/>
        <v>0</v>
      </c>
      <c r="BL91" s="29">
        <v>2.6</v>
      </c>
      <c r="BM91" s="28">
        <f t="shared" si="45"/>
        <v>0.783743359437696</v>
      </c>
      <c r="BX91" s="39"/>
      <c r="CL91" s="44"/>
      <c r="DK91" s="49">
        <v>7</v>
      </c>
      <c r="DL91" s="18" t="s">
        <v>1555</v>
      </c>
      <c r="DM91" s="18" t="str">
        <f>SUBSTITUTE(DM90,",",".")</f>
        <v>-4</v>
      </c>
      <c r="DN91" s="18" t="s">
        <v>1704</v>
      </c>
      <c r="DO91" s="25"/>
      <c r="DP91" s="18"/>
      <c r="DQ91" s="18"/>
      <c r="DV91" s="18"/>
      <c r="DX91" s="49">
        <v>7</v>
      </c>
      <c r="DY91" s="18" t="s">
        <v>1555</v>
      </c>
      <c r="DZ91" s="18" t="str">
        <f>EG18</f>
        <v>-3.466</v>
      </c>
      <c r="EA91" s="18" t="s">
        <v>1704</v>
      </c>
      <c r="EC91" s="18"/>
      <c r="ED91" s="18"/>
      <c r="EK91" s="49">
        <v>7</v>
      </c>
      <c r="EL91" s="18" t="s">
        <v>1555</v>
      </c>
      <c r="EM91" s="18" t="str">
        <f>ET18</f>
        <v>-3.19</v>
      </c>
      <c r="EN91" s="18" t="s">
        <v>1704</v>
      </c>
      <c r="EO91" s="25"/>
      <c r="EP91" s="18"/>
      <c r="EQ91" s="18"/>
      <c r="FM91" s="49">
        <v>7</v>
      </c>
      <c r="FN91" s="33" t="s">
        <v>1664</v>
      </c>
    </row>
    <row r="92" spans="10:147" ht="15.75" customHeight="1">
      <c r="J92" s="87"/>
      <c r="Z92" s="98"/>
      <c r="AC92" s="120"/>
      <c r="AF92" s="4">
        <v>91</v>
      </c>
      <c r="AG92" s="4">
        <v>3</v>
      </c>
      <c r="AH92" s="4">
        <v>3</v>
      </c>
      <c r="AI92" s="4">
        <v>1</v>
      </c>
      <c r="AJ92" t="s">
        <v>1987</v>
      </c>
      <c r="AK92">
        <v>6</v>
      </c>
      <c r="AL92">
        <v>2.3</v>
      </c>
      <c r="AM92">
        <v>3</v>
      </c>
      <c r="AN92">
        <v>0.5</v>
      </c>
      <c r="AO92">
        <v>8.25</v>
      </c>
      <c r="AP92">
        <v>63</v>
      </c>
      <c r="AQ92">
        <v>2.8</v>
      </c>
      <c r="AS92" s="38">
        <f t="shared" si="37"/>
        <v>91</v>
      </c>
      <c r="AT92" s="25" t="b">
        <f t="shared" si="38"/>
        <v>0</v>
      </c>
      <c r="AU92" s="25" t="b">
        <f t="shared" si="39"/>
        <v>0</v>
      </c>
      <c r="AV92" s="25">
        <f t="shared" si="40"/>
        <v>91</v>
      </c>
      <c r="AW92" s="25" t="b">
        <f t="shared" si="41"/>
        <v>0</v>
      </c>
      <c r="BL92" s="29">
        <v>2.8</v>
      </c>
      <c r="BM92" s="28">
        <f t="shared" si="45"/>
        <v>0.7602310586545651</v>
      </c>
      <c r="CL92" s="44"/>
      <c r="DK92" s="49"/>
      <c r="DL92" s="18"/>
      <c r="DM92" s="18"/>
      <c r="DN92" s="18"/>
      <c r="DO92" s="18"/>
      <c r="DP92" s="18"/>
      <c r="DQ92" s="18"/>
      <c r="DV92" s="18"/>
      <c r="DX92" s="49"/>
      <c r="DY92" s="18"/>
      <c r="DZ92" s="18"/>
      <c r="EA92" s="18"/>
      <c r="EB92" s="18"/>
      <c r="EC92" s="18"/>
      <c r="ED92" s="18"/>
      <c r="EK92" s="49"/>
      <c r="EL92" s="18"/>
      <c r="EM92" s="18"/>
      <c r="EN92" s="18"/>
      <c r="EO92" s="18"/>
      <c r="EP92" s="18"/>
      <c r="EQ92" s="18"/>
    </row>
    <row r="93" spans="9:147" ht="15.75" customHeight="1">
      <c r="I93" s="5" t="str">
        <f>LOOKUP(H$27,J$2:AD$2,J93:AD93)</f>
        <v>Please read before use!</v>
      </c>
      <c r="J93" s="87" t="s">
        <v>1066</v>
      </c>
      <c r="K93" s="34" t="s">
        <v>935</v>
      </c>
      <c r="L93" s="34" t="s">
        <v>1192</v>
      </c>
      <c r="M93" s="34" t="s">
        <v>1076</v>
      </c>
      <c r="N93" s="34" t="s">
        <v>796</v>
      </c>
      <c r="O93" t="s">
        <v>1791</v>
      </c>
      <c r="P93" s="34" t="s">
        <v>461</v>
      </c>
      <c r="Q93" s="34" t="s">
        <v>1199</v>
      </c>
      <c r="R93" t="s">
        <v>1853</v>
      </c>
      <c r="S93" s="34" t="s">
        <v>1234</v>
      </c>
      <c r="T93" s="34" t="s">
        <v>1558</v>
      </c>
      <c r="U93" s="34" t="s">
        <v>388</v>
      </c>
      <c r="V93" s="34" t="s">
        <v>1346</v>
      </c>
      <c r="W93" s="34" t="s">
        <v>568</v>
      </c>
      <c r="X93" s="34" t="s">
        <v>601</v>
      </c>
      <c r="Y93" s="34" t="s">
        <v>797</v>
      </c>
      <c r="Z93" s="98" t="s">
        <v>1576</v>
      </c>
      <c r="AA93" s="112" t="s">
        <v>1537</v>
      </c>
      <c r="AB93" s="103" t="s">
        <v>407</v>
      </c>
      <c r="AC93" s="119" t="s">
        <v>172</v>
      </c>
      <c r="AD93" s="109" t="s">
        <v>221</v>
      </c>
      <c r="AF93" s="4">
        <v>92</v>
      </c>
      <c r="AG93" s="4">
        <v>3</v>
      </c>
      <c r="AH93" s="4">
        <v>3</v>
      </c>
      <c r="AI93" s="4">
        <v>1</v>
      </c>
      <c r="AJ93" t="s">
        <v>1988</v>
      </c>
      <c r="AK93">
        <v>6</v>
      </c>
      <c r="AL93">
        <v>2.3</v>
      </c>
      <c r="AM93">
        <v>3</v>
      </c>
      <c r="AN93">
        <v>0.5</v>
      </c>
      <c r="AO93">
        <v>6.75</v>
      </c>
      <c r="AP93">
        <v>63</v>
      </c>
      <c r="AQ93">
        <v>2.8</v>
      </c>
      <c r="AS93" s="38">
        <f t="shared" si="37"/>
        <v>92</v>
      </c>
      <c r="AT93" s="25" t="b">
        <f t="shared" si="38"/>
        <v>0</v>
      </c>
      <c r="AU93" s="25" t="b">
        <f t="shared" si="39"/>
        <v>0</v>
      </c>
      <c r="AV93" s="25">
        <f t="shared" si="40"/>
        <v>92</v>
      </c>
      <c r="AW93" s="25" t="b">
        <f t="shared" si="41"/>
        <v>0</v>
      </c>
      <c r="BL93" s="29">
        <v>3</v>
      </c>
      <c r="BM93" s="28">
        <f t="shared" si="45"/>
        <v>0.7374241268949281</v>
      </c>
      <c r="BX93" s="39">
        <v>30</v>
      </c>
      <c r="BY93" s="45">
        <f>LOOKUP(BV$54,BZ$5:DJ$5,BZ93:DJ93)</f>
        <v>0</v>
      </c>
      <c r="BZ93" s="45"/>
      <c r="CF93" s="44" t="str">
        <f>CONCATENATE(BX93,DL106,DM106,DN106)</f>
        <v>30 L IZ+34.25 FMAX</v>
      </c>
      <c r="CL93" s="44" t="str">
        <f>CONCATENATE(BX93,DL97,DM97,DN97)</f>
        <v>30 CC IX-2 IY+0</v>
      </c>
      <c r="CP93" s="44" t="str">
        <f>CONCATENATE(BX93,DY106,FE121,FF121,EA106)</f>
        <v>30 L IZ+1.25 FMAX</v>
      </c>
      <c r="CQ93" s="44" t="s">
        <v>886</v>
      </c>
      <c r="CR93" s="152" t="str">
        <f>CONCATENATE(BX93,DY106,FK42,EA106)</f>
        <v>30 L IZ-36.75 FMAX</v>
      </c>
      <c r="CV93" s="152" t="str">
        <f>CONCATENATE(BX93,DL97,DM97,DN97)</f>
        <v>30 CC IX-2 IY+0</v>
      </c>
      <c r="CX93" s="152" t="str">
        <f>CONCATENATE(BX93,EL124,EM124,EN124)</f>
        <v>30 CC IX-1.838 IY+0</v>
      </c>
      <c r="DG93" s="44" t="str">
        <f>CQ90</f>
        <v>#2=#2+1</v>
      </c>
      <c r="DJ93" s="44" t="str">
        <f>DH39</f>
        <v>G13.1</v>
      </c>
      <c r="DK93" s="48"/>
      <c r="DL93" s="25"/>
      <c r="DM93" s="18">
        <f>BN6</f>
        <v>3</v>
      </c>
      <c r="DN93" s="25"/>
      <c r="DO93" s="25"/>
      <c r="DP93" s="25"/>
      <c r="DQ93" s="25"/>
      <c r="DV93" s="18"/>
      <c r="DZ93" s="11"/>
      <c r="EK93" s="48"/>
      <c r="EL93" s="25"/>
      <c r="EM93" s="11"/>
      <c r="EN93" s="25"/>
      <c r="EO93" s="25"/>
      <c r="EP93" s="25"/>
      <c r="EQ93" s="25"/>
    </row>
    <row r="94" spans="32:147" ht="15.75" customHeight="1">
      <c r="AF94" s="4">
        <v>93</v>
      </c>
      <c r="AG94" s="4">
        <v>3</v>
      </c>
      <c r="AH94" s="4">
        <v>3</v>
      </c>
      <c r="AI94" s="4">
        <v>1</v>
      </c>
      <c r="AJ94" t="s">
        <v>1989</v>
      </c>
      <c r="AK94">
        <v>6</v>
      </c>
      <c r="AL94">
        <v>2.3</v>
      </c>
      <c r="AM94">
        <v>3</v>
      </c>
      <c r="AN94">
        <v>0.5</v>
      </c>
      <c r="AO94">
        <v>5.25</v>
      </c>
      <c r="AP94">
        <v>63</v>
      </c>
      <c r="AQ94">
        <v>2.8</v>
      </c>
      <c r="AS94" s="38">
        <f t="shared" si="37"/>
        <v>93</v>
      </c>
      <c r="AT94" s="25" t="b">
        <f t="shared" si="38"/>
        <v>0</v>
      </c>
      <c r="AU94" s="25" t="b">
        <f t="shared" si="39"/>
        <v>0</v>
      </c>
      <c r="AV94" s="25">
        <f t="shared" si="40"/>
        <v>93</v>
      </c>
      <c r="AW94" s="25" t="b">
        <f t="shared" si="41"/>
        <v>0</v>
      </c>
      <c r="BL94" s="29">
        <v>3.2</v>
      </c>
      <c r="BM94" s="28">
        <f>BM93*0.97</f>
        <v>0.7153014030880802</v>
      </c>
      <c r="CL94" s="44"/>
      <c r="DK94" s="49">
        <v>8</v>
      </c>
      <c r="DL94" s="18" t="s">
        <v>1556</v>
      </c>
      <c r="DM94" s="18" t="str">
        <f>SUBSTITUTE(DM93,",",".")</f>
        <v>3</v>
      </c>
      <c r="DN94" s="18" t="s">
        <v>586</v>
      </c>
      <c r="DO94" s="18"/>
      <c r="DP94" s="25"/>
      <c r="DQ94" s="25"/>
      <c r="DV94" s="18"/>
      <c r="DX94" s="49"/>
      <c r="DY94" s="18"/>
      <c r="DZ94" s="18"/>
      <c r="EA94" s="18"/>
      <c r="EB94" s="18"/>
      <c r="EK94" s="49"/>
      <c r="EL94" s="18"/>
      <c r="EM94" s="18"/>
      <c r="EN94" s="18"/>
      <c r="EO94" s="18"/>
      <c r="EP94" s="25"/>
      <c r="EQ94" s="25"/>
    </row>
    <row r="95" spans="32:147" ht="15.75" customHeight="1">
      <c r="AF95" s="4">
        <v>94</v>
      </c>
      <c r="AG95" s="4">
        <v>7</v>
      </c>
      <c r="AH95" s="4">
        <v>1</v>
      </c>
      <c r="AI95" s="4">
        <v>1</v>
      </c>
      <c r="AJ95" t="s">
        <v>1990</v>
      </c>
      <c r="AK95">
        <v>16</v>
      </c>
      <c r="AL95">
        <v>16</v>
      </c>
      <c r="AM95">
        <v>5</v>
      </c>
      <c r="AN95">
        <v>2</v>
      </c>
      <c r="AO95">
        <v>39</v>
      </c>
      <c r="AP95">
        <v>100</v>
      </c>
      <c r="AQ95">
        <v>19.6</v>
      </c>
      <c r="AS95" s="38">
        <f t="shared" si="37"/>
        <v>94</v>
      </c>
      <c r="AT95" s="25" t="b">
        <f t="shared" si="38"/>
        <v>0</v>
      </c>
      <c r="AU95" s="25">
        <f t="shared" si="39"/>
        <v>94</v>
      </c>
      <c r="AV95" s="25">
        <f t="shared" si="40"/>
        <v>94</v>
      </c>
      <c r="AW95" s="25" t="b">
        <f t="shared" si="41"/>
        <v>0</v>
      </c>
      <c r="BL95" s="29">
        <v>3.4</v>
      </c>
      <c r="BM95" s="28">
        <f>BM94*0.97</f>
        <v>0.6938423609954378</v>
      </c>
      <c r="CL95" s="44"/>
      <c r="DK95" s="142"/>
      <c r="DL95" s="18"/>
      <c r="DM95" s="18"/>
      <c r="DN95" s="18"/>
      <c r="DO95" s="18"/>
      <c r="DP95" s="18"/>
      <c r="DQ95" s="18"/>
      <c r="DV95" s="18"/>
      <c r="DX95" s="142"/>
      <c r="DY95" s="18"/>
      <c r="DZ95" s="18"/>
      <c r="EA95" s="18"/>
      <c r="EB95" s="18"/>
      <c r="EC95" s="18"/>
      <c r="ED95" s="18"/>
      <c r="EK95" s="142"/>
      <c r="EL95" s="18"/>
      <c r="EM95" s="18"/>
      <c r="EN95" s="18"/>
      <c r="EO95" s="18"/>
      <c r="EP95" s="18"/>
      <c r="EQ95" s="18"/>
    </row>
    <row r="96" spans="32:147" ht="15.75" customHeight="1">
      <c r="AF96" s="4">
        <v>95</v>
      </c>
      <c r="AG96" s="4">
        <v>7</v>
      </c>
      <c r="AH96" s="4">
        <v>1</v>
      </c>
      <c r="AI96" s="4">
        <v>1</v>
      </c>
      <c r="AJ96" t="s">
        <v>1991</v>
      </c>
      <c r="AK96">
        <v>12</v>
      </c>
      <c r="AL96">
        <v>12</v>
      </c>
      <c r="AM96">
        <v>4</v>
      </c>
      <c r="AN96">
        <v>2</v>
      </c>
      <c r="AO96">
        <v>35</v>
      </c>
      <c r="AP96">
        <v>100</v>
      </c>
      <c r="AQ96">
        <v>15.6</v>
      </c>
      <c r="AS96" s="38">
        <f t="shared" si="37"/>
        <v>95</v>
      </c>
      <c r="AT96" s="25" t="b">
        <f t="shared" si="38"/>
        <v>0</v>
      </c>
      <c r="AU96" s="25" t="b">
        <f t="shared" si="39"/>
        <v>0</v>
      </c>
      <c r="AV96" s="25">
        <f t="shared" si="40"/>
        <v>95</v>
      </c>
      <c r="AW96" s="25" t="b">
        <f t="shared" si="41"/>
        <v>0</v>
      </c>
      <c r="BL96" s="29">
        <v>3.6</v>
      </c>
      <c r="BM96" s="28">
        <f>BM95*0.97</f>
        <v>0.6730270901655747</v>
      </c>
      <c r="BX96" s="39">
        <v>31</v>
      </c>
      <c r="BY96" s="45">
        <f>LOOKUP(BV$54,BZ$5:DJ$5,BZ96:DJ96)</f>
        <v>0</v>
      </c>
      <c r="BZ96" s="45"/>
      <c r="CL96" s="44" t="str">
        <f>CONCATENATE(BX96,DL100,DM100,DN100)</f>
        <v>31 CP IPA+90 IZ+0.375 DR+</v>
      </c>
      <c r="CQ96" s="44" t="str">
        <f>CE57</f>
        <v>G03 X-2. Y2. Z0.375 I-2. J0.</v>
      </c>
      <c r="CR96" s="152" t="str">
        <f>CONCATENATE(BX96,DL82,DM82,DN82,DO82,DP82,DQ82)</f>
        <v>31 L IX+2 IY-2 RL F156</v>
      </c>
      <c r="CV96" s="152" t="str">
        <f>CONCATENATE(BX96,DL100,DM100,DN100)</f>
        <v>31 CP IPA+90 IZ+0.375 DR+</v>
      </c>
      <c r="CX96" s="152" t="str">
        <f>CONCATENATE(BX96,DL100,DM100,DN100)</f>
        <v>31 CP IPA+90 IZ+0.375 DR+</v>
      </c>
      <c r="DG96" s="44" t="str">
        <f>CQ93</f>
        <v>END3</v>
      </c>
      <c r="DJ96" s="44" t="str">
        <f>DH42</f>
        <v>G00 Z34.25</v>
      </c>
      <c r="DK96" s="48"/>
      <c r="DL96" s="25"/>
      <c r="DM96" s="18"/>
      <c r="DN96" s="25"/>
      <c r="DO96" s="25"/>
      <c r="DP96" s="25"/>
      <c r="DQ96" s="25"/>
      <c r="DV96" s="18"/>
      <c r="DZ96" s="18"/>
      <c r="EK96" s="48"/>
      <c r="EL96" s="25"/>
      <c r="EM96" s="18"/>
      <c r="EN96" s="25"/>
      <c r="EO96" s="25"/>
      <c r="EP96" s="25"/>
      <c r="EQ96" s="25"/>
    </row>
    <row r="97" spans="32:147" ht="15.75" customHeight="1">
      <c r="AF97" s="4">
        <v>96</v>
      </c>
      <c r="AG97" s="4">
        <v>7</v>
      </c>
      <c r="AH97" s="4">
        <v>1</v>
      </c>
      <c r="AI97" s="4">
        <v>1</v>
      </c>
      <c r="AJ97" t="s">
        <v>1992</v>
      </c>
      <c r="AK97">
        <v>12</v>
      </c>
      <c r="AL97">
        <v>12</v>
      </c>
      <c r="AM97">
        <v>4</v>
      </c>
      <c r="AN97">
        <v>1.5</v>
      </c>
      <c r="AO97">
        <v>29.25</v>
      </c>
      <c r="AP97">
        <v>100</v>
      </c>
      <c r="AQ97">
        <v>15.6</v>
      </c>
      <c r="AS97" s="38">
        <f t="shared" si="37"/>
        <v>96</v>
      </c>
      <c r="AT97" s="25" t="b">
        <f t="shared" si="38"/>
        <v>0</v>
      </c>
      <c r="AU97" s="25" t="b">
        <f t="shared" si="39"/>
        <v>0</v>
      </c>
      <c r="AV97" s="25">
        <f t="shared" si="40"/>
        <v>96</v>
      </c>
      <c r="AW97" s="25" t="b">
        <f t="shared" si="41"/>
        <v>0</v>
      </c>
      <c r="BL97" s="29">
        <v>3.8</v>
      </c>
      <c r="BM97" s="28">
        <f>BM96*0.97</f>
        <v>0.6528362774606075</v>
      </c>
      <c r="BX97" s="39"/>
      <c r="CL97" s="44"/>
      <c r="DK97" s="49">
        <v>9</v>
      </c>
      <c r="DL97" s="18" t="s">
        <v>1555</v>
      </c>
      <c r="DM97" s="18" t="str">
        <f>DO82</f>
        <v>-2</v>
      </c>
      <c r="DN97" s="18" t="s">
        <v>1704</v>
      </c>
      <c r="DO97" s="25"/>
      <c r="DP97" s="18"/>
      <c r="DQ97" s="18"/>
      <c r="DV97" s="18"/>
      <c r="DX97" s="49">
        <v>9</v>
      </c>
      <c r="DY97" s="18" t="s">
        <v>1555</v>
      </c>
      <c r="DZ97" s="18" t="str">
        <f>EB82</f>
        <v>-1.733</v>
      </c>
      <c r="EA97" s="18" t="s">
        <v>1704</v>
      </c>
      <c r="EC97" s="18"/>
      <c r="ED97" s="18"/>
      <c r="EK97" s="49">
        <v>9</v>
      </c>
      <c r="EL97" s="18" t="s">
        <v>1555</v>
      </c>
      <c r="EM97" s="18" t="str">
        <f>EO82</f>
        <v>-1.595</v>
      </c>
      <c r="EN97" s="18" t="s">
        <v>1704</v>
      </c>
      <c r="EO97" s="25"/>
      <c r="EP97" s="18"/>
      <c r="EQ97" s="18"/>
    </row>
    <row r="98" spans="32:147" ht="15.75" customHeight="1">
      <c r="AF98" s="4">
        <v>97</v>
      </c>
      <c r="AG98" s="4">
        <v>7</v>
      </c>
      <c r="AH98" s="4">
        <v>1</v>
      </c>
      <c r="AI98" s="4">
        <v>1</v>
      </c>
      <c r="AJ98" t="s">
        <v>1993</v>
      </c>
      <c r="AK98">
        <v>10</v>
      </c>
      <c r="AL98">
        <v>10</v>
      </c>
      <c r="AM98">
        <v>3</v>
      </c>
      <c r="AN98">
        <v>2</v>
      </c>
      <c r="AO98">
        <v>31</v>
      </c>
      <c r="AP98">
        <v>100</v>
      </c>
      <c r="AQ98">
        <v>13.6</v>
      </c>
      <c r="AS98" s="38">
        <f aca="true" t="shared" si="46" ref="AS98:AS129">IF(C$14&gt;=AQ98,AF98)</f>
        <v>97</v>
      </c>
      <c r="AT98" s="25" t="b">
        <f aca="true" t="shared" si="47" ref="AT98:AT129">IF(C$15=AN98,AF98)</f>
        <v>0</v>
      </c>
      <c r="AU98" s="25" t="b">
        <f aca="true" t="shared" si="48" ref="AU98:AU129">IF(C$16&lt;=AO98,AF98)</f>
        <v>0</v>
      </c>
      <c r="AV98" s="25">
        <f t="shared" si="40"/>
        <v>97</v>
      </c>
      <c r="AW98" s="25" t="b">
        <f t="shared" si="41"/>
        <v>0</v>
      </c>
      <c r="BL98" s="29">
        <v>4</v>
      </c>
      <c r="BM98" s="28">
        <f>BM97*0.97</f>
        <v>0.6332511891367892</v>
      </c>
      <c r="CL98" s="44"/>
      <c r="DK98" s="49"/>
      <c r="DL98" s="18"/>
      <c r="DM98" s="18"/>
      <c r="DN98" s="18"/>
      <c r="DO98" s="18"/>
      <c r="DP98" s="18"/>
      <c r="DQ98" s="18"/>
      <c r="DV98" s="18"/>
      <c r="DX98" s="49"/>
      <c r="DY98" s="18"/>
      <c r="DZ98" s="18"/>
      <c r="EA98" s="18"/>
      <c r="EB98" s="18"/>
      <c r="EC98" s="18"/>
      <c r="ED98" s="18"/>
      <c r="EK98" s="49"/>
      <c r="EL98" s="18"/>
      <c r="EM98" s="18"/>
      <c r="EN98" s="18"/>
      <c r="EO98" s="18"/>
      <c r="EP98" s="18"/>
      <c r="EQ98" s="18"/>
    </row>
    <row r="99" spans="32:147" ht="15.75" customHeight="1">
      <c r="AF99" s="4">
        <v>98</v>
      </c>
      <c r="AG99" s="4">
        <v>7</v>
      </c>
      <c r="AH99" s="4">
        <v>1</v>
      </c>
      <c r="AI99" s="4">
        <v>1</v>
      </c>
      <c r="AJ99" t="s">
        <v>1994</v>
      </c>
      <c r="AK99">
        <v>10</v>
      </c>
      <c r="AL99">
        <v>9</v>
      </c>
      <c r="AM99">
        <v>3</v>
      </c>
      <c r="AN99">
        <v>1.75</v>
      </c>
      <c r="AO99">
        <v>27.12</v>
      </c>
      <c r="AP99">
        <v>100</v>
      </c>
      <c r="AQ99">
        <v>11.6</v>
      </c>
      <c r="AS99" s="38">
        <f t="shared" si="46"/>
        <v>98</v>
      </c>
      <c r="AT99" s="25" t="b">
        <f t="shared" si="47"/>
        <v>0</v>
      </c>
      <c r="AU99" s="25" t="b">
        <f t="shared" si="48"/>
        <v>0</v>
      </c>
      <c r="AV99" s="25">
        <f t="shared" si="40"/>
        <v>98</v>
      </c>
      <c r="AW99" s="25" t="b">
        <f t="shared" si="41"/>
        <v>0</v>
      </c>
      <c r="BL99" s="29">
        <v>10</v>
      </c>
      <c r="BM99" s="28">
        <v>0.5</v>
      </c>
      <c r="BX99" s="39">
        <v>32</v>
      </c>
      <c r="BY99" s="45">
        <f>LOOKUP(BV$54,BZ$5:DJ$5,BZ99:DJ99)</f>
        <v>0</v>
      </c>
      <c r="BZ99" s="45"/>
      <c r="CL99" s="44" t="str">
        <f>CONCATENATE(BX99,DL103,DM103,DN103,DO103,DP103)</f>
        <v>32 L IX-2 IY-2 R0</v>
      </c>
      <c r="CQ99" s="44" t="str">
        <f>CE60</f>
        <v>G01 G40 X-2. Y-2.</v>
      </c>
      <c r="CR99" s="152" t="str">
        <f>CONCATENATE(BX99,DL85,DM85)</f>
        <v>32 CC IX+0 IY+2</v>
      </c>
      <c r="CV99" s="152" t="str">
        <f>CONCATENATE(BX99,DL103,FQ33,DN103,DO103,DP103)</f>
        <v>32 L IX-2.092 IY-2 R0</v>
      </c>
      <c r="CX99" s="152" t="str">
        <f>CONCATENATE(BX99,DL103,GQ60,DN103,GS60,DP103)</f>
        <v>32 L IX-1.93 IY-1.838 R0</v>
      </c>
      <c r="DG99" s="44" t="str">
        <f>DA60</f>
        <v>G03 X-2. C2. Z0.375 I-2. J0.</v>
      </c>
      <c r="DK99" s="48"/>
      <c r="DL99" s="25"/>
      <c r="DM99" s="18"/>
      <c r="DN99" s="25"/>
      <c r="DO99" s="25"/>
      <c r="DP99" s="25"/>
      <c r="DQ99" s="25"/>
      <c r="DV99" s="18"/>
      <c r="DZ99" s="18"/>
      <c r="EK99" s="48"/>
      <c r="EL99" s="25"/>
      <c r="EM99" s="18"/>
      <c r="EN99" s="25"/>
      <c r="EO99" s="25"/>
      <c r="EP99" s="25"/>
      <c r="EQ99" s="25"/>
    </row>
    <row r="100" spans="32:147" ht="15.75" customHeight="1">
      <c r="AF100" s="4">
        <v>99</v>
      </c>
      <c r="AG100" s="4">
        <v>7</v>
      </c>
      <c r="AH100" s="4">
        <v>1</v>
      </c>
      <c r="AI100" s="4">
        <v>1</v>
      </c>
      <c r="AJ100" t="s">
        <v>1995</v>
      </c>
      <c r="AK100">
        <v>8</v>
      </c>
      <c r="AL100">
        <v>8</v>
      </c>
      <c r="AM100">
        <v>4</v>
      </c>
      <c r="AN100">
        <v>1</v>
      </c>
      <c r="AO100">
        <v>17.5</v>
      </c>
      <c r="AP100">
        <v>76</v>
      </c>
      <c r="AQ100">
        <v>9.8</v>
      </c>
      <c r="AS100" s="38">
        <f t="shared" si="46"/>
        <v>99</v>
      </c>
      <c r="AT100" s="25" t="b">
        <f t="shared" si="47"/>
        <v>0</v>
      </c>
      <c r="AU100" s="25" t="b">
        <f t="shared" si="48"/>
        <v>0</v>
      </c>
      <c r="AV100" s="25">
        <f t="shared" si="40"/>
        <v>99</v>
      </c>
      <c r="AW100" s="25" t="b">
        <f t="shared" si="41"/>
        <v>0</v>
      </c>
      <c r="CL100" s="44"/>
      <c r="DK100" s="49">
        <v>10</v>
      </c>
      <c r="DL100" s="18" t="s">
        <v>1554</v>
      </c>
      <c r="DM100" s="18" t="str">
        <f>DM88</f>
        <v>0.375</v>
      </c>
      <c r="DN100" s="18" t="s">
        <v>586</v>
      </c>
      <c r="DO100" s="18"/>
      <c r="DP100" s="25"/>
      <c r="DQ100" s="25"/>
      <c r="DV100" s="18"/>
      <c r="DX100" s="49"/>
      <c r="DY100" s="18"/>
      <c r="DZ100" s="18"/>
      <c r="EA100" s="18"/>
      <c r="EB100" s="18"/>
      <c r="EK100" s="49"/>
      <c r="EL100" s="18"/>
      <c r="EM100" s="18"/>
      <c r="EN100" s="18"/>
      <c r="EO100" s="18"/>
      <c r="EP100" s="25"/>
      <c r="EQ100" s="25"/>
    </row>
    <row r="101" spans="32:147" ht="15.75" customHeight="1">
      <c r="AF101" s="4">
        <v>100</v>
      </c>
      <c r="AG101" s="4">
        <v>7</v>
      </c>
      <c r="AH101" s="4">
        <v>1</v>
      </c>
      <c r="AI101" s="4">
        <v>1</v>
      </c>
      <c r="AJ101" t="s">
        <v>1996</v>
      </c>
      <c r="AK101">
        <v>8</v>
      </c>
      <c r="AL101">
        <v>8</v>
      </c>
      <c r="AM101">
        <v>3</v>
      </c>
      <c r="AN101">
        <v>1.75</v>
      </c>
      <c r="AO101">
        <v>27.12</v>
      </c>
      <c r="AP101">
        <v>76</v>
      </c>
      <c r="AQ101">
        <v>10.6</v>
      </c>
      <c r="AS101" s="38">
        <f t="shared" si="46"/>
        <v>100</v>
      </c>
      <c r="AT101" s="25" t="b">
        <f t="shared" si="47"/>
        <v>0</v>
      </c>
      <c r="AU101" s="25" t="b">
        <f t="shared" si="48"/>
        <v>0</v>
      </c>
      <c r="AV101" s="25">
        <f t="shared" si="40"/>
        <v>100</v>
      </c>
      <c r="AW101" s="25" t="b">
        <f t="shared" si="41"/>
        <v>0</v>
      </c>
      <c r="CL101" s="44"/>
      <c r="DK101" s="49"/>
      <c r="DL101" s="18"/>
      <c r="DM101" s="18"/>
      <c r="DN101" s="18"/>
      <c r="DO101" s="18"/>
      <c r="DP101" s="39"/>
      <c r="DQ101" s="18"/>
      <c r="DV101" s="18"/>
      <c r="DX101" s="49"/>
      <c r="DY101" s="18"/>
      <c r="DZ101" s="18"/>
      <c r="EA101" s="18"/>
      <c r="EB101" s="18"/>
      <c r="EC101" s="39"/>
      <c r="ED101" s="18"/>
      <c r="EK101" s="49"/>
      <c r="EL101" s="18"/>
      <c r="EM101" s="18"/>
      <c r="EN101" s="18"/>
      <c r="EO101" s="18"/>
      <c r="EP101" s="39"/>
      <c r="EQ101" s="18"/>
    </row>
    <row r="102" spans="32:147" ht="15.75" customHeight="1">
      <c r="AF102" s="4">
        <v>101</v>
      </c>
      <c r="AG102" s="4">
        <v>7</v>
      </c>
      <c r="AH102" s="4">
        <v>1</v>
      </c>
      <c r="AI102" s="4">
        <v>1</v>
      </c>
      <c r="AJ102" t="s">
        <v>1997</v>
      </c>
      <c r="AK102">
        <v>8</v>
      </c>
      <c r="AL102">
        <v>7.5</v>
      </c>
      <c r="AM102">
        <v>3</v>
      </c>
      <c r="AN102">
        <v>1.5</v>
      </c>
      <c r="AO102">
        <v>21.75</v>
      </c>
      <c r="AP102">
        <v>76</v>
      </c>
      <c r="AQ102">
        <v>9.6</v>
      </c>
      <c r="AS102" s="38">
        <f t="shared" si="46"/>
        <v>101</v>
      </c>
      <c r="AT102" s="25" t="b">
        <f t="shared" si="47"/>
        <v>0</v>
      </c>
      <c r="AU102" s="25" t="b">
        <f t="shared" si="48"/>
        <v>0</v>
      </c>
      <c r="AV102" s="25">
        <f t="shared" si="40"/>
        <v>101</v>
      </c>
      <c r="AW102" s="25" t="b">
        <f t="shared" si="41"/>
        <v>0</v>
      </c>
      <c r="BX102" s="39">
        <v>33</v>
      </c>
      <c r="BY102" s="45">
        <f>LOOKUP(BV$54,BZ$5:DJ$5,BZ102:DJ102)</f>
        <v>0</v>
      </c>
      <c r="BZ102" s="45"/>
      <c r="CL102" s="44" t="str">
        <f>CONCATENATE(BX102,DL106,EZ115,DN106)</f>
        <v>33 L IZ+35.25 FMAX</v>
      </c>
      <c r="CQ102" s="44" t="str">
        <f>CO72</f>
        <v>G00 Z1.25</v>
      </c>
      <c r="CR102" s="152" t="str">
        <f>CONCATENATE(BX102,DL88,DM88,DN88)</f>
        <v>33 CP IPA+90 IZ+0.375 DR+</v>
      </c>
      <c r="CV102" s="152" t="str">
        <f>CONCATENATE(BX102,DL106,DM106,DN106)</f>
        <v>33 L IZ+34.25 FMAX</v>
      </c>
      <c r="CX102" s="152" t="str">
        <f>CONCATENATE(BX102,DY106,DZ106,EA106)</f>
        <v>33 L IZ-3.75 FMAX</v>
      </c>
      <c r="DG102" s="44" t="str">
        <f>DA63</f>
        <v>G01 G40 X-2. C-2.</v>
      </c>
      <c r="DK102" s="48"/>
      <c r="DL102" s="25"/>
      <c r="DM102" s="25"/>
      <c r="DN102" s="25"/>
      <c r="DO102" s="25"/>
      <c r="DP102" s="25"/>
      <c r="DQ102" s="25"/>
      <c r="DV102" s="18"/>
      <c r="EK102" s="48"/>
      <c r="EL102" s="25"/>
      <c r="EM102" s="25"/>
      <c r="EN102" s="25"/>
      <c r="EO102" s="25"/>
      <c r="EP102" s="25"/>
      <c r="EQ102" s="25"/>
    </row>
    <row r="103" spans="32:170" ht="15.75" customHeight="1">
      <c r="AF103" s="4">
        <v>102</v>
      </c>
      <c r="AG103" s="4">
        <v>7</v>
      </c>
      <c r="AH103" s="4">
        <v>1</v>
      </c>
      <c r="AI103" s="4">
        <v>1</v>
      </c>
      <c r="AJ103" t="s">
        <v>1998</v>
      </c>
      <c r="AK103">
        <v>6</v>
      </c>
      <c r="AL103">
        <v>6</v>
      </c>
      <c r="AM103">
        <v>3</v>
      </c>
      <c r="AN103">
        <v>1.25</v>
      </c>
      <c r="AO103">
        <v>18.12</v>
      </c>
      <c r="AP103">
        <v>76</v>
      </c>
      <c r="AQ103">
        <v>7.8</v>
      </c>
      <c r="AS103" s="38">
        <f t="shared" si="46"/>
        <v>102</v>
      </c>
      <c r="AT103" s="25" t="b">
        <f t="shared" si="47"/>
        <v>0</v>
      </c>
      <c r="AU103" s="25" t="b">
        <f t="shared" si="48"/>
        <v>0</v>
      </c>
      <c r="AV103" s="25">
        <f t="shared" si="40"/>
        <v>102</v>
      </c>
      <c r="AW103" s="25" t="b">
        <f t="shared" si="41"/>
        <v>0</v>
      </c>
      <c r="CL103" s="44"/>
      <c r="DK103" s="49">
        <v>11</v>
      </c>
      <c r="DL103" s="18" t="s">
        <v>1548</v>
      </c>
      <c r="DM103" s="18" t="str">
        <f>DO82</f>
        <v>-2</v>
      </c>
      <c r="DN103" s="18" t="s">
        <v>871</v>
      </c>
      <c r="DO103" s="18" t="str">
        <f>DO82</f>
        <v>-2</v>
      </c>
      <c r="DP103" s="18" t="s">
        <v>587</v>
      </c>
      <c r="DQ103" s="25"/>
      <c r="DV103" s="18"/>
      <c r="DX103" s="49">
        <v>11</v>
      </c>
      <c r="DY103" s="18" t="s">
        <v>1548</v>
      </c>
      <c r="DZ103" s="18" t="str">
        <f>EB82</f>
        <v>-1.733</v>
      </c>
      <c r="EA103" s="18" t="s">
        <v>871</v>
      </c>
      <c r="EB103" s="18" t="str">
        <f>EB82</f>
        <v>-1.733</v>
      </c>
      <c r="EC103" s="18" t="s">
        <v>587</v>
      </c>
      <c r="EK103" s="49">
        <v>11</v>
      </c>
      <c r="EL103" s="18" t="s">
        <v>1548</v>
      </c>
      <c r="EM103" s="18" t="str">
        <f>EO82</f>
        <v>-1.595</v>
      </c>
      <c r="EN103" s="18" t="s">
        <v>871</v>
      </c>
      <c r="EO103" s="18" t="str">
        <f>EO82</f>
        <v>-1.595</v>
      </c>
      <c r="EP103" s="18" t="s">
        <v>587</v>
      </c>
      <c r="EQ103" s="25"/>
      <c r="FM103" s="49">
        <v>11</v>
      </c>
      <c r="FN103" s="18" t="s">
        <v>1665</v>
      </c>
    </row>
    <row r="104" spans="32:147" ht="15.75" customHeight="1">
      <c r="AF104" s="4">
        <v>103</v>
      </c>
      <c r="AG104" s="4">
        <v>4</v>
      </c>
      <c r="AH104" s="4">
        <v>1</v>
      </c>
      <c r="AI104" s="4">
        <v>1</v>
      </c>
      <c r="AJ104" t="s">
        <v>1999</v>
      </c>
      <c r="AK104">
        <v>20</v>
      </c>
      <c r="AL104">
        <v>20</v>
      </c>
      <c r="AM104">
        <v>3</v>
      </c>
      <c r="AN104">
        <v>3.5</v>
      </c>
      <c r="AO104">
        <v>64.75</v>
      </c>
      <c r="AP104">
        <v>150</v>
      </c>
      <c r="AQ104">
        <v>29.6</v>
      </c>
      <c r="AS104" s="38" t="b">
        <f t="shared" si="46"/>
        <v>0</v>
      </c>
      <c r="AT104" s="25" t="b">
        <f t="shared" si="47"/>
        <v>0</v>
      </c>
      <c r="AU104" s="25">
        <f t="shared" si="48"/>
        <v>103</v>
      </c>
      <c r="AV104" s="25">
        <f t="shared" si="40"/>
        <v>103</v>
      </c>
      <c r="AW104" s="25" t="b">
        <f t="shared" si="41"/>
        <v>0</v>
      </c>
      <c r="CL104" s="44"/>
      <c r="DL104" s="18"/>
      <c r="DM104" s="18"/>
      <c r="DN104" s="18"/>
      <c r="DO104" s="18"/>
      <c r="DP104" s="39"/>
      <c r="DQ104" s="18"/>
      <c r="DV104" s="18"/>
      <c r="DX104" s="46"/>
      <c r="DY104" s="18"/>
      <c r="DZ104" s="18"/>
      <c r="EA104" s="18"/>
      <c r="EB104" s="18"/>
      <c r="EC104" s="39"/>
      <c r="ED104" s="18"/>
      <c r="EL104" s="18"/>
      <c r="EM104" s="18"/>
      <c r="EN104" s="18"/>
      <c r="EO104" s="18"/>
      <c r="EP104" s="39"/>
      <c r="EQ104" s="18"/>
    </row>
    <row r="105" spans="32:147" ht="15.75" customHeight="1">
      <c r="AF105" s="4">
        <v>104</v>
      </c>
      <c r="AG105" s="4">
        <v>4</v>
      </c>
      <c r="AH105" s="4">
        <v>1</v>
      </c>
      <c r="AI105" s="4">
        <v>1</v>
      </c>
      <c r="AJ105" t="s">
        <v>2000</v>
      </c>
      <c r="AK105">
        <v>20</v>
      </c>
      <c r="AL105">
        <v>20</v>
      </c>
      <c r="AM105">
        <v>3</v>
      </c>
      <c r="AN105">
        <v>3.5</v>
      </c>
      <c r="AO105">
        <v>50.75</v>
      </c>
      <c r="AP105">
        <v>150</v>
      </c>
      <c r="AQ105">
        <v>29.6</v>
      </c>
      <c r="AS105" s="38" t="b">
        <f t="shared" si="46"/>
        <v>0</v>
      </c>
      <c r="AT105" s="25" t="b">
        <f t="shared" si="47"/>
        <v>0</v>
      </c>
      <c r="AU105" s="25">
        <f t="shared" si="48"/>
        <v>104</v>
      </c>
      <c r="AV105" s="25">
        <f t="shared" si="40"/>
        <v>104</v>
      </c>
      <c r="AW105" s="25" t="b">
        <f t="shared" si="41"/>
        <v>0</v>
      </c>
      <c r="BX105" s="39">
        <v>34</v>
      </c>
      <c r="BY105" s="45">
        <f>LOOKUP(BV$54,BZ$5:DJ$5,BZ105:DJ105)</f>
        <v>0</v>
      </c>
      <c r="BZ105" s="45"/>
      <c r="CL105" s="44" t="str">
        <f>CONCATENATE(BX105,EY118)</f>
        <v>34 FN 1: Q2 =+Q2 + +1</v>
      </c>
      <c r="CR105" s="152" t="str">
        <f>CONCATENATE(BX105,EY85)</f>
        <v>34 FN 0: Q2 =+0</v>
      </c>
      <c r="CX105" s="152" t="str">
        <f>CONCATENATE(BX105,DL82,DM82,DN82,DO82,DP82,DQ82)</f>
        <v>34 L IX+2 IY-2 RL F156</v>
      </c>
      <c r="DG105" s="44" t="str">
        <f>DA66</f>
        <v>G13.1</v>
      </c>
      <c r="DL105" s="25"/>
      <c r="DM105" s="18">
        <f>-DM78-DM87-DM93-DM87</f>
        <v>34.25</v>
      </c>
      <c r="DN105" s="25"/>
      <c r="DO105" s="25"/>
      <c r="DP105" s="25"/>
      <c r="DQ105" s="18"/>
      <c r="DV105" s="18"/>
      <c r="DX105" s="46"/>
      <c r="DZ105" s="11"/>
      <c r="ED105" s="18"/>
      <c r="EL105" s="25"/>
      <c r="EM105" s="11"/>
      <c r="EN105" s="25"/>
      <c r="EO105" s="25"/>
      <c r="EP105" s="25"/>
      <c r="EQ105" s="18"/>
    </row>
    <row r="106" spans="32:146" ht="15.75" customHeight="1">
      <c r="AF106" s="4">
        <v>105</v>
      </c>
      <c r="AG106" s="4">
        <v>4</v>
      </c>
      <c r="AH106" s="4">
        <v>1</v>
      </c>
      <c r="AI106" s="4">
        <v>1</v>
      </c>
      <c r="AJ106" t="s">
        <v>2001</v>
      </c>
      <c r="AK106">
        <v>16</v>
      </c>
      <c r="AL106">
        <v>16</v>
      </c>
      <c r="AM106">
        <v>6</v>
      </c>
      <c r="AN106">
        <v>1.5</v>
      </c>
      <c r="AO106">
        <v>35.25</v>
      </c>
      <c r="AP106">
        <v>120</v>
      </c>
      <c r="AQ106">
        <v>19.6</v>
      </c>
      <c r="AS106" s="38">
        <f t="shared" si="46"/>
        <v>105</v>
      </c>
      <c r="AT106" s="25" t="b">
        <f t="shared" si="47"/>
        <v>0</v>
      </c>
      <c r="AU106" s="25" t="b">
        <f t="shared" si="48"/>
        <v>0</v>
      </c>
      <c r="AV106" s="25">
        <f t="shared" si="40"/>
        <v>105</v>
      </c>
      <c r="AW106" s="25" t="b">
        <f t="shared" si="41"/>
        <v>0</v>
      </c>
      <c r="CL106" s="44"/>
      <c r="DK106" s="49">
        <v>12</v>
      </c>
      <c r="DL106" s="18" t="s">
        <v>1547</v>
      </c>
      <c r="DM106" s="18" t="str">
        <f>SUBSTITUTE(DM105,",",".")</f>
        <v>34.25</v>
      </c>
      <c r="DN106" s="18" t="s">
        <v>870</v>
      </c>
      <c r="DO106" s="25"/>
      <c r="DP106" s="39"/>
      <c r="DX106" s="49">
        <v>12</v>
      </c>
      <c r="DY106" s="18" t="s">
        <v>1551</v>
      </c>
      <c r="DZ106" s="18" t="str">
        <f>EA27</f>
        <v>-3.75</v>
      </c>
      <c r="EA106" s="18" t="s">
        <v>870</v>
      </c>
      <c r="EC106" s="39"/>
      <c r="ED106"/>
      <c r="EK106" s="49">
        <v>12</v>
      </c>
      <c r="EL106" s="18" t="s">
        <v>1551</v>
      </c>
      <c r="EM106" s="18" t="str">
        <f>EN27</f>
        <v>-3.75</v>
      </c>
      <c r="EN106" s="18" t="s">
        <v>870</v>
      </c>
      <c r="EO106" s="25"/>
      <c r="EP106" s="39"/>
    </row>
    <row r="107" spans="32:141" ht="15.75" customHeight="1">
      <c r="AF107" s="4">
        <v>106</v>
      </c>
      <c r="AG107" s="4">
        <v>4</v>
      </c>
      <c r="AH107" s="4">
        <v>1</v>
      </c>
      <c r="AI107" s="4">
        <v>1</v>
      </c>
      <c r="AJ107" t="s">
        <v>2002</v>
      </c>
      <c r="AK107">
        <v>16</v>
      </c>
      <c r="AL107">
        <v>16</v>
      </c>
      <c r="AM107">
        <v>5</v>
      </c>
      <c r="AN107">
        <v>2</v>
      </c>
      <c r="AO107">
        <v>39</v>
      </c>
      <c r="AP107">
        <v>120</v>
      </c>
      <c r="AQ107">
        <v>19.6</v>
      </c>
      <c r="AS107" s="38">
        <f t="shared" si="46"/>
        <v>106</v>
      </c>
      <c r="AT107" s="25" t="b">
        <f t="shared" si="47"/>
        <v>0</v>
      </c>
      <c r="AU107" s="25">
        <f t="shared" si="48"/>
        <v>106</v>
      </c>
      <c r="AV107" s="25">
        <f t="shared" si="40"/>
        <v>106</v>
      </c>
      <c r="AW107" s="25" t="b">
        <f t="shared" si="41"/>
        <v>0</v>
      </c>
      <c r="CL107" s="44"/>
      <c r="DK107" s="48"/>
      <c r="DY107"/>
      <c r="DZ107"/>
      <c r="EA107"/>
      <c r="EB107"/>
      <c r="EC107"/>
      <c r="ED107"/>
      <c r="EK107" s="48"/>
    </row>
    <row r="108" spans="32:147" ht="15.75" customHeight="1">
      <c r="AF108" s="4">
        <v>107</v>
      </c>
      <c r="AG108" s="4">
        <v>4</v>
      </c>
      <c r="AH108" s="4">
        <v>1</v>
      </c>
      <c r="AI108" s="4">
        <v>1</v>
      </c>
      <c r="AJ108" t="s">
        <v>2003</v>
      </c>
      <c r="AK108">
        <v>16</v>
      </c>
      <c r="AL108">
        <v>16</v>
      </c>
      <c r="AM108">
        <v>3</v>
      </c>
      <c r="AN108">
        <v>3</v>
      </c>
      <c r="AO108">
        <v>52.5</v>
      </c>
      <c r="AP108">
        <v>120</v>
      </c>
      <c r="AQ108">
        <v>23.6</v>
      </c>
      <c r="AS108" s="38">
        <f t="shared" si="46"/>
        <v>107</v>
      </c>
      <c r="AT108" s="25">
        <f t="shared" si="47"/>
        <v>107</v>
      </c>
      <c r="AU108" s="25">
        <f t="shared" si="48"/>
        <v>107</v>
      </c>
      <c r="AV108" s="25">
        <f t="shared" si="40"/>
        <v>107</v>
      </c>
      <c r="AW108" s="25">
        <f t="shared" si="41"/>
        <v>107</v>
      </c>
      <c r="BX108" s="39">
        <v>35</v>
      </c>
      <c r="BY108" s="45">
        <f>LOOKUP(BV$54,BZ$5:DJ$5,BZ108:DJ108)</f>
        <v>0</v>
      </c>
      <c r="BZ108" s="45"/>
      <c r="CL108" s="44" t="str">
        <f>CONCATENATE(BX108,EY121)</f>
        <v>35 FN 12: IF +Q2 LT +Q1 GOTO LBL 101</v>
      </c>
      <c r="CR108" s="152" t="str">
        <f>CONCATENATE(BX108,FI175)</f>
        <v>35 LBL 103</v>
      </c>
      <c r="CX108" s="152" t="str">
        <f>CONCATENATE(BX108,DL85,DM85)</f>
        <v>35 CC IX+0 IY+2</v>
      </c>
      <c r="DG108" s="44" t="str">
        <f>DF78</f>
        <v>G00 Z1.25</v>
      </c>
      <c r="DK108" s="48"/>
      <c r="DQ108" s="25"/>
      <c r="DY108"/>
      <c r="DZ108"/>
      <c r="EA108"/>
      <c r="EB108"/>
      <c r="EC108"/>
      <c r="EK108" s="48"/>
      <c r="EQ108" s="25"/>
    </row>
    <row r="109" spans="32:147" ht="15.75" customHeight="1">
      <c r="AF109" s="4">
        <v>108</v>
      </c>
      <c r="AG109" s="4">
        <v>4</v>
      </c>
      <c r="AH109" s="4">
        <v>1</v>
      </c>
      <c r="AI109" s="4">
        <v>1</v>
      </c>
      <c r="AJ109" t="s">
        <v>2004</v>
      </c>
      <c r="AK109">
        <v>16</v>
      </c>
      <c r="AL109">
        <v>16</v>
      </c>
      <c r="AM109">
        <v>3</v>
      </c>
      <c r="AN109">
        <v>3</v>
      </c>
      <c r="AO109">
        <v>40.5</v>
      </c>
      <c r="AP109">
        <v>120</v>
      </c>
      <c r="AQ109">
        <v>23.6</v>
      </c>
      <c r="AS109" s="38">
        <f t="shared" si="46"/>
        <v>108</v>
      </c>
      <c r="AT109" s="25">
        <f t="shared" si="47"/>
        <v>108</v>
      </c>
      <c r="AU109" s="25">
        <f t="shared" si="48"/>
        <v>108</v>
      </c>
      <c r="AV109" s="25">
        <f t="shared" si="40"/>
        <v>108</v>
      </c>
      <c r="AW109" s="25">
        <f t="shared" si="41"/>
        <v>108</v>
      </c>
      <c r="CL109" s="44"/>
      <c r="DK109" s="48"/>
      <c r="DL109" s="25"/>
      <c r="DM109" s="25"/>
      <c r="DN109" s="25"/>
      <c r="DO109" s="25"/>
      <c r="DP109" s="25"/>
      <c r="DQ109" s="25"/>
      <c r="EK109" s="49">
        <v>13</v>
      </c>
      <c r="EL109" s="18" t="s">
        <v>1552</v>
      </c>
      <c r="EM109" s="25" t="str">
        <f>EO30</f>
        <v>1.838</v>
      </c>
      <c r="EN109" s="25" t="str">
        <f>EN82</f>
        <v> IY</v>
      </c>
      <c r="EO109" s="25" t="str">
        <f>EQ30</f>
        <v>-1.838</v>
      </c>
      <c r="EP109" s="25" t="str">
        <f>EP82</f>
        <v> RL F</v>
      </c>
      <c r="EQ109" s="25">
        <f>BT69</f>
        <v>147</v>
      </c>
    </row>
    <row r="110" spans="32:147" ht="15.75" customHeight="1">
      <c r="AF110" s="4">
        <v>109</v>
      </c>
      <c r="AG110" s="4">
        <v>4</v>
      </c>
      <c r="AH110" s="4">
        <v>1</v>
      </c>
      <c r="AI110" s="4">
        <v>1</v>
      </c>
      <c r="AJ110" t="s">
        <v>2005</v>
      </c>
      <c r="AK110">
        <v>16</v>
      </c>
      <c r="AL110">
        <v>15</v>
      </c>
      <c r="AM110">
        <v>4</v>
      </c>
      <c r="AN110">
        <v>2.5</v>
      </c>
      <c r="AO110">
        <v>53.75</v>
      </c>
      <c r="AP110">
        <v>120</v>
      </c>
      <c r="AQ110">
        <v>19.6</v>
      </c>
      <c r="AS110" s="38">
        <f t="shared" si="46"/>
        <v>109</v>
      </c>
      <c r="AT110" s="25" t="b">
        <f t="shared" si="47"/>
        <v>0</v>
      </c>
      <c r="AU110" s="25">
        <f t="shared" si="48"/>
        <v>109</v>
      </c>
      <c r="AV110" s="25">
        <f t="shared" si="40"/>
        <v>109</v>
      </c>
      <c r="AW110" s="25" t="b">
        <f t="shared" si="41"/>
        <v>0</v>
      </c>
      <c r="CL110" s="44"/>
      <c r="DK110" s="48"/>
      <c r="DL110" s="25"/>
      <c r="DM110" s="25"/>
      <c r="DN110" s="25"/>
      <c r="DO110" s="25"/>
      <c r="DP110" s="25"/>
      <c r="DQ110" s="25"/>
      <c r="EK110" s="48"/>
      <c r="EL110" s="25"/>
      <c r="EM110" s="25"/>
      <c r="EN110" s="25"/>
      <c r="EO110" s="25"/>
      <c r="EP110" s="25"/>
      <c r="EQ110" s="25"/>
    </row>
    <row r="111" spans="32:147" ht="15.75" customHeight="1">
      <c r="AF111" s="4">
        <v>110</v>
      </c>
      <c r="AG111" s="4">
        <v>4</v>
      </c>
      <c r="AH111" s="4">
        <v>1</v>
      </c>
      <c r="AI111" s="4">
        <v>1</v>
      </c>
      <c r="AJ111" t="s">
        <v>2006</v>
      </c>
      <c r="AK111">
        <v>14</v>
      </c>
      <c r="AL111">
        <v>14</v>
      </c>
      <c r="AM111">
        <v>4</v>
      </c>
      <c r="AN111">
        <v>2.5</v>
      </c>
      <c r="AO111">
        <v>43.75</v>
      </c>
      <c r="AP111">
        <v>100</v>
      </c>
      <c r="AQ111">
        <v>19.6</v>
      </c>
      <c r="AS111" s="38">
        <f t="shared" si="46"/>
        <v>110</v>
      </c>
      <c r="AT111" s="25" t="b">
        <f t="shared" si="47"/>
        <v>0</v>
      </c>
      <c r="AU111" s="25">
        <f t="shared" si="48"/>
        <v>110</v>
      </c>
      <c r="AV111" s="25">
        <f t="shared" si="40"/>
        <v>110</v>
      </c>
      <c r="AW111" s="25" t="b">
        <f t="shared" si="41"/>
        <v>0</v>
      </c>
      <c r="BX111" s="39">
        <v>36</v>
      </c>
      <c r="BY111" s="45">
        <f>LOOKUP(BV$54,BZ$5:DJ$5,BZ111:DJ111)</f>
        <v>0</v>
      </c>
      <c r="BZ111" s="45"/>
      <c r="CL111" s="44" t="str">
        <f>CONCATENATE(BX111,DY106,EZ124,FA124,EA106)</f>
        <v>36 L IZ-1 FMAX</v>
      </c>
      <c r="CR111" s="152" t="str">
        <f>CONCATENATE(BX111,DL91,DM91,DN91)</f>
        <v>36 CC IX-4 IY+0</v>
      </c>
      <c r="CX111" s="152" t="str">
        <f>CONCATENATE(BX111,DL88,DM88,DN88)</f>
        <v>36 CP IPA+90 IZ+0.375 DR+</v>
      </c>
      <c r="DK111" s="48"/>
      <c r="DL111" s="25"/>
      <c r="DM111" s="25"/>
      <c r="DN111" s="25"/>
      <c r="DO111" s="25"/>
      <c r="DP111" s="25"/>
      <c r="DQ111" s="25"/>
      <c r="EK111" s="48"/>
      <c r="EL111" s="25"/>
      <c r="EM111" s="25"/>
      <c r="EN111" s="25"/>
      <c r="EO111" s="25"/>
      <c r="EP111" s="25"/>
      <c r="EQ111" s="25"/>
    </row>
    <row r="112" spans="32:147" ht="15.75" customHeight="1">
      <c r="AF112" s="4">
        <v>111</v>
      </c>
      <c r="AG112" s="4">
        <v>4</v>
      </c>
      <c r="AH112" s="4">
        <v>1</v>
      </c>
      <c r="AI112" s="4">
        <v>1</v>
      </c>
      <c r="AJ112" t="s">
        <v>2007</v>
      </c>
      <c r="AK112">
        <v>14</v>
      </c>
      <c r="AL112">
        <v>14</v>
      </c>
      <c r="AM112">
        <v>4</v>
      </c>
      <c r="AN112">
        <v>2.5</v>
      </c>
      <c r="AO112">
        <v>33.75</v>
      </c>
      <c r="AP112">
        <v>100</v>
      </c>
      <c r="AQ112">
        <v>19.6</v>
      </c>
      <c r="AS112" s="38">
        <f t="shared" si="46"/>
        <v>111</v>
      </c>
      <c r="AT112" s="25" t="b">
        <f t="shared" si="47"/>
        <v>0</v>
      </c>
      <c r="AU112" s="25" t="b">
        <f t="shared" si="48"/>
        <v>0</v>
      </c>
      <c r="AV112" s="25">
        <f t="shared" si="40"/>
        <v>111</v>
      </c>
      <c r="AW112" s="25" t="b">
        <f t="shared" si="41"/>
        <v>0</v>
      </c>
      <c r="CL112" s="44"/>
      <c r="EK112" s="49">
        <v>14</v>
      </c>
      <c r="EL112" s="18" t="s">
        <v>1553</v>
      </c>
      <c r="EM112" s="25" t="str">
        <f>EM109</f>
        <v>1.838</v>
      </c>
      <c r="EN112" s="25"/>
      <c r="EO112" s="25"/>
      <c r="EP112" s="25"/>
      <c r="EQ112" s="25"/>
    </row>
    <row r="113" spans="32:147" ht="15.75" customHeight="1">
      <c r="AF113" s="4">
        <v>112</v>
      </c>
      <c r="AG113" s="4">
        <v>4</v>
      </c>
      <c r="AH113" s="4">
        <v>1</v>
      </c>
      <c r="AI113" s="4">
        <v>1</v>
      </c>
      <c r="AJ113" t="s">
        <v>2008</v>
      </c>
      <c r="AK113">
        <v>12</v>
      </c>
      <c r="AL113">
        <v>12</v>
      </c>
      <c r="AM113">
        <v>4</v>
      </c>
      <c r="AN113">
        <v>2</v>
      </c>
      <c r="AO113">
        <v>43</v>
      </c>
      <c r="AP113">
        <v>100</v>
      </c>
      <c r="AQ113">
        <v>15.6</v>
      </c>
      <c r="AS113" s="38">
        <f t="shared" si="46"/>
        <v>112</v>
      </c>
      <c r="AT113" s="25" t="b">
        <f t="shared" si="47"/>
        <v>0</v>
      </c>
      <c r="AU113" s="25">
        <f t="shared" si="48"/>
        <v>112</v>
      </c>
      <c r="AV113" s="25">
        <f t="shared" si="40"/>
        <v>112</v>
      </c>
      <c r="AW113" s="25" t="b">
        <f t="shared" si="41"/>
        <v>0</v>
      </c>
      <c r="CL113" s="44"/>
      <c r="EK113" s="48"/>
      <c r="EL113" s="25"/>
      <c r="EM113" s="25"/>
      <c r="EN113" s="25"/>
      <c r="EO113" s="25"/>
      <c r="EP113" s="25"/>
      <c r="EQ113" s="25"/>
    </row>
    <row r="114" spans="32:156" ht="15.75" customHeight="1">
      <c r="AF114" s="4">
        <v>113</v>
      </c>
      <c r="AG114" s="4">
        <v>4</v>
      </c>
      <c r="AH114" s="4">
        <v>1</v>
      </c>
      <c r="AI114" s="4">
        <v>1</v>
      </c>
      <c r="AJ114" t="s">
        <v>2009</v>
      </c>
      <c r="AK114">
        <v>12</v>
      </c>
      <c r="AL114">
        <v>12</v>
      </c>
      <c r="AM114">
        <v>4</v>
      </c>
      <c r="AN114">
        <v>2</v>
      </c>
      <c r="AO114">
        <v>35</v>
      </c>
      <c r="AP114">
        <v>100</v>
      </c>
      <c r="AQ114">
        <v>15.6</v>
      </c>
      <c r="AS114" s="38">
        <f t="shared" si="46"/>
        <v>113</v>
      </c>
      <c r="AT114" s="25" t="b">
        <f t="shared" si="47"/>
        <v>0</v>
      </c>
      <c r="AU114" s="25" t="b">
        <f t="shared" si="48"/>
        <v>0</v>
      </c>
      <c r="AV114" s="25">
        <f t="shared" si="40"/>
        <v>113</v>
      </c>
      <c r="AW114" s="25" t="b">
        <f t="shared" si="41"/>
        <v>0</v>
      </c>
      <c r="BX114" s="39">
        <v>37</v>
      </c>
      <c r="BY114" s="45">
        <f>LOOKUP(BV$54,BZ$5:DJ$5,BZ114:DJ114)</f>
        <v>0</v>
      </c>
      <c r="BZ114" s="45"/>
      <c r="CL114" s="44"/>
      <c r="CR114" s="152" t="str">
        <f>CONCATENATE(BX114,DL94,DM94,DN94)</f>
        <v>37 CP IPA+360 IZ+3 DR+</v>
      </c>
      <c r="CX114" s="152" t="str">
        <f>CONCATENATE(BX114,DL91,FV18,FN91,FX18)</f>
        <v>37 CC IX-4 IY+0.023</v>
      </c>
      <c r="EK114" s="48"/>
      <c r="EL114" s="25"/>
      <c r="EM114" s="25"/>
      <c r="EN114" s="25"/>
      <c r="EO114" s="25"/>
      <c r="EP114" s="25"/>
      <c r="EQ114" s="25"/>
      <c r="EZ114" s="146">
        <f>BR7-(BN6*1.25)</f>
        <v>35.25</v>
      </c>
    </row>
    <row r="115" spans="32:156" ht="15.75" customHeight="1">
      <c r="AF115" s="4">
        <v>114</v>
      </c>
      <c r="AG115" s="4">
        <v>4</v>
      </c>
      <c r="AH115" s="4">
        <v>1</v>
      </c>
      <c r="AI115" s="4">
        <v>1</v>
      </c>
      <c r="AJ115" t="s">
        <v>2010</v>
      </c>
      <c r="AK115">
        <v>12</v>
      </c>
      <c r="AL115">
        <v>12</v>
      </c>
      <c r="AM115">
        <v>4</v>
      </c>
      <c r="AN115">
        <v>1.5</v>
      </c>
      <c r="AO115">
        <v>29.25</v>
      </c>
      <c r="AP115">
        <v>100</v>
      </c>
      <c r="AQ115">
        <v>15.6</v>
      </c>
      <c r="AS115" s="38">
        <f t="shared" si="46"/>
        <v>114</v>
      </c>
      <c r="AT115" s="25" t="b">
        <f t="shared" si="47"/>
        <v>0</v>
      </c>
      <c r="AU115" s="25" t="b">
        <f t="shared" si="48"/>
        <v>0</v>
      </c>
      <c r="AV115" s="25">
        <f t="shared" si="40"/>
        <v>114</v>
      </c>
      <c r="AW115" s="25" t="b">
        <f t="shared" si="41"/>
        <v>0</v>
      </c>
      <c r="CL115" s="44"/>
      <c r="EK115" s="48"/>
      <c r="EL115" s="25"/>
      <c r="EM115" s="25"/>
      <c r="EN115" s="25"/>
      <c r="EO115" s="25"/>
      <c r="EP115" s="25"/>
      <c r="EQ115" s="25"/>
      <c r="EX115" s="49">
        <v>15</v>
      </c>
      <c r="EZ115" s="147" t="str">
        <f>SUBSTITUTE(EZ114,",",".")</f>
        <v>35.25</v>
      </c>
    </row>
    <row r="116" spans="32:147" ht="15.75" customHeight="1">
      <c r="AF116" s="4">
        <v>115</v>
      </c>
      <c r="AG116" s="4">
        <v>4</v>
      </c>
      <c r="AH116" s="4">
        <v>1</v>
      </c>
      <c r="AI116" s="4">
        <v>1</v>
      </c>
      <c r="AJ116" t="s">
        <v>2011</v>
      </c>
      <c r="AK116">
        <v>12</v>
      </c>
      <c r="AL116">
        <v>12</v>
      </c>
      <c r="AM116">
        <v>4</v>
      </c>
      <c r="AN116">
        <v>2</v>
      </c>
      <c r="AO116">
        <v>27</v>
      </c>
      <c r="AP116">
        <v>100</v>
      </c>
      <c r="AQ116">
        <v>15.6</v>
      </c>
      <c r="AS116" s="38">
        <f t="shared" si="46"/>
        <v>115</v>
      </c>
      <c r="AT116" s="25" t="b">
        <f t="shared" si="47"/>
        <v>0</v>
      </c>
      <c r="AU116" s="25" t="b">
        <f t="shared" si="48"/>
        <v>0</v>
      </c>
      <c r="AV116" s="25">
        <f t="shared" si="40"/>
        <v>115</v>
      </c>
      <c r="AW116" s="25" t="b">
        <f t="shared" si="41"/>
        <v>0</v>
      </c>
      <c r="CL116" s="44"/>
      <c r="EK116" s="48"/>
      <c r="EL116" s="25"/>
      <c r="EM116" s="25"/>
      <c r="EN116" s="25"/>
      <c r="EO116" s="25"/>
      <c r="EP116" s="25"/>
      <c r="EQ116" s="25"/>
    </row>
    <row r="117" spans="32:147" ht="15.75" customHeight="1">
      <c r="AF117" s="4">
        <v>116</v>
      </c>
      <c r="AG117" s="4">
        <v>4</v>
      </c>
      <c r="AH117" s="4">
        <v>1</v>
      </c>
      <c r="AI117" s="4">
        <v>1</v>
      </c>
      <c r="AJ117" t="s">
        <v>2012</v>
      </c>
      <c r="AK117">
        <v>12</v>
      </c>
      <c r="AL117">
        <v>12</v>
      </c>
      <c r="AM117">
        <v>3</v>
      </c>
      <c r="AN117">
        <v>2</v>
      </c>
      <c r="AO117">
        <v>51</v>
      </c>
      <c r="AP117">
        <v>100</v>
      </c>
      <c r="AQ117">
        <v>15.6</v>
      </c>
      <c r="AS117" s="38">
        <f t="shared" si="46"/>
        <v>116</v>
      </c>
      <c r="AT117" s="25" t="b">
        <f t="shared" si="47"/>
        <v>0</v>
      </c>
      <c r="AU117" s="25">
        <f t="shared" si="48"/>
        <v>116</v>
      </c>
      <c r="AV117" s="25">
        <f t="shared" si="40"/>
        <v>116</v>
      </c>
      <c r="AW117" s="25" t="b">
        <f t="shared" si="41"/>
        <v>0</v>
      </c>
      <c r="BX117" s="9">
        <v>38</v>
      </c>
      <c r="BY117" s="45">
        <f>LOOKUP(BV$54,BZ$5:DJ$5,BZ117:DJ117)</f>
        <v>0</v>
      </c>
      <c r="BZ117" s="45"/>
      <c r="CL117" s="44"/>
      <c r="CR117" s="152" t="str">
        <f>CONCATENATE(BX117,EY118)</f>
        <v>38 FN 1: Q2 =+Q2 + +1</v>
      </c>
      <c r="CX117" s="152" t="str">
        <f>CONCATENATE(BX117,DL88,FT18,DN88)</f>
        <v>38 CP IPA+90 IZ+0.75 DR+</v>
      </c>
      <c r="EK117" s="48"/>
      <c r="EL117" s="25"/>
      <c r="EM117" s="25"/>
      <c r="EN117" s="25"/>
      <c r="EO117" s="25"/>
      <c r="EP117" s="25"/>
      <c r="EQ117" s="25"/>
    </row>
    <row r="118" spans="32:155" ht="15.75" customHeight="1">
      <c r="AF118" s="4">
        <v>117</v>
      </c>
      <c r="AG118" s="4">
        <v>4</v>
      </c>
      <c r="AH118" s="4">
        <v>1</v>
      </c>
      <c r="AI118" s="4">
        <v>1</v>
      </c>
      <c r="AJ118" t="s">
        <v>2013</v>
      </c>
      <c r="AK118">
        <v>10</v>
      </c>
      <c r="AL118">
        <v>10</v>
      </c>
      <c r="AM118">
        <v>3</v>
      </c>
      <c r="AN118">
        <v>2</v>
      </c>
      <c r="AO118">
        <v>31</v>
      </c>
      <c r="AP118">
        <v>100</v>
      </c>
      <c r="AQ118">
        <v>13.6</v>
      </c>
      <c r="AS118" s="38">
        <f t="shared" si="46"/>
        <v>117</v>
      </c>
      <c r="AT118" s="25" t="b">
        <f t="shared" si="47"/>
        <v>0</v>
      </c>
      <c r="AU118" s="25" t="b">
        <f t="shared" si="48"/>
        <v>0</v>
      </c>
      <c r="AV118" s="25">
        <f t="shared" si="40"/>
        <v>117</v>
      </c>
      <c r="AW118" s="25" t="b">
        <f t="shared" si="41"/>
        <v>0</v>
      </c>
      <c r="CL118" s="44"/>
      <c r="EK118" s="49">
        <v>16</v>
      </c>
      <c r="EL118" s="18" t="s">
        <v>1555</v>
      </c>
      <c r="EM118" s="25" t="str">
        <f>ET36</f>
        <v>-3.676</v>
      </c>
      <c r="EN118" s="25" t="str">
        <f>EN91</f>
        <v> IY+0</v>
      </c>
      <c r="EO118" s="25"/>
      <c r="EP118" s="25"/>
      <c r="EQ118" s="25"/>
      <c r="EX118" s="49">
        <v>16</v>
      </c>
      <c r="EY118" s="151" t="s">
        <v>1608</v>
      </c>
    </row>
    <row r="119" spans="32:147" ht="15.75" customHeight="1">
      <c r="AF119" s="4">
        <v>118</v>
      </c>
      <c r="AG119" s="4">
        <v>4</v>
      </c>
      <c r="AH119" s="4">
        <v>1</v>
      </c>
      <c r="AI119" s="4">
        <v>1</v>
      </c>
      <c r="AJ119" t="s">
        <v>2014</v>
      </c>
      <c r="AK119">
        <v>10</v>
      </c>
      <c r="AL119">
        <v>10</v>
      </c>
      <c r="AM119">
        <v>3</v>
      </c>
      <c r="AN119">
        <v>2</v>
      </c>
      <c r="AO119">
        <v>23</v>
      </c>
      <c r="AP119">
        <v>100</v>
      </c>
      <c r="AQ119">
        <v>13.6</v>
      </c>
      <c r="AS119" s="38">
        <f t="shared" si="46"/>
        <v>118</v>
      </c>
      <c r="AT119" s="25" t="b">
        <f t="shared" si="47"/>
        <v>0</v>
      </c>
      <c r="AU119" s="25" t="b">
        <f t="shared" si="48"/>
        <v>0</v>
      </c>
      <c r="AV119" s="25">
        <f t="shared" si="40"/>
        <v>118</v>
      </c>
      <c r="AW119" s="25" t="b">
        <f t="shared" si="41"/>
        <v>0</v>
      </c>
      <c r="CL119" s="44"/>
      <c r="EK119" s="48"/>
      <c r="EL119" s="25"/>
      <c r="EM119" s="25"/>
      <c r="EN119" s="25"/>
      <c r="EO119" s="25"/>
      <c r="EP119" s="25"/>
      <c r="EQ119" s="25"/>
    </row>
    <row r="120" spans="32:162" ht="15.75" customHeight="1">
      <c r="AF120" s="4">
        <v>119</v>
      </c>
      <c r="AG120" s="4">
        <v>4</v>
      </c>
      <c r="AH120" s="4">
        <v>1</v>
      </c>
      <c r="AI120" s="4">
        <v>1</v>
      </c>
      <c r="AJ120" t="s">
        <v>2015</v>
      </c>
      <c r="AK120">
        <v>10</v>
      </c>
      <c r="AL120">
        <v>9</v>
      </c>
      <c r="AM120">
        <v>3</v>
      </c>
      <c r="AN120">
        <v>1.75</v>
      </c>
      <c r="AO120">
        <v>37.62</v>
      </c>
      <c r="AP120">
        <v>100</v>
      </c>
      <c r="AQ120">
        <v>11.6</v>
      </c>
      <c r="AS120" s="38">
        <f t="shared" si="46"/>
        <v>119</v>
      </c>
      <c r="AT120" s="25" t="b">
        <f t="shared" si="47"/>
        <v>0</v>
      </c>
      <c r="AU120" s="25">
        <f t="shared" si="48"/>
        <v>119</v>
      </c>
      <c r="AV120" s="25">
        <f t="shared" si="40"/>
        <v>119</v>
      </c>
      <c r="AW120" s="25" t="b">
        <f t="shared" si="41"/>
        <v>0</v>
      </c>
      <c r="BX120" s="9">
        <v>39</v>
      </c>
      <c r="BY120" s="45">
        <f>LOOKUP(BV$54,BZ$5:DJ$5,BZ120:DJ120)</f>
        <v>0</v>
      </c>
      <c r="BZ120" s="45"/>
      <c r="CL120" s="44"/>
      <c r="CR120" s="152" t="str">
        <f>CONCATENATE(BX120,FI187)</f>
        <v>39 FN 12: IF +Q2 LT +Q1 GOTO LBL 103</v>
      </c>
      <c r="CX120" s="152" t="str">
        <f>CONCATENATE(BX120,DL91,FV21,DN82,FX21)</f>
        <v>39 CC IX-0.023 IY-4.023</v>
      </c>
      <c r="EK120" s="48"/>
      <c r="EL120" s="25"/>
      <c r="EM120" s="25"/>
      <c r="EN120" s="25"/>
      <c r="EO120" s="25"/>
      <c r="EP120" s="25"/>
      <c r="EQ120" s="25"/>
      <c r="FE120" s="25"/>
      <c r="FF120" s="25">
        <f>FF40</f>
        <v>1.25</v>
      </c>
    </row>
    <row r="121" spans="32:162" ht="15.75" customHeight="1">
      <c r="AF121" s="4">
        <v>120</v>
      </c>
      <c r="AG121" s="4">
        <v>4</v>
      </c>
      <c r="AH121" s="4">
        <v>1</v>
      </c>
      <c r="AI121" s="4">
        <v>1</v>
      </c>
      <c r="AJ121" t="s">
        <v>2016</v>
      </c>
      <c r="AK121">
        <v>10</v>
      </c>
      <c r="AL121">
        <v>9</v>
      </c>
      <c r="AM121">
        <v>3</v>
      </c>
      <c r="AN121">
        <v>1.75</v>
      </c>
      <c r="AO121">
        <v>32.37</v>
      </c>
      <c r="AP121">
        <v>100</v>
      </c>
      <c r="AQ121">
        <v>11.6</v>
      </c>
      <c r="AS121" s="38">
        <f t="shared" si="46"/>
        <v>120</v>
      </c>
      <c r="AT121" s="25" t="b">
        <f t="shared" si="47"/>
        <v>0</v>
      </c>
      <c r="AU121" s="25" t="b">
        <f t="shared" si="48"/>
        <v>0</v>
      </c>
      <c r="AV121" s="25">
        <f t="shared" si="40"/>
        <v>120</v>
      </c>
      <c r="AW121" s="25" t="b">
        <f t="shared" si="41"/>
        <v>0</v>
      </c>
      <c r="CL121" s="44"/>
      <c r="EK121" s="48"/>
      <c r="EL121" s="25"/>
      <c r="EM121" s="25"/>
      <c r="EN121" s="25"/>
      <c r="EO121" s="25"/>
      <c r="EP121" s="25"/>
      <c r="EQ121" s="25"/>
      <c r="EX121" s="143">
        <v>17</v>
      </c>
      <c r="EY121" s="151" t="s">
        <v>1609</v>
      </c>
      <c r="FC121" s="143">
        <v>17</v>
      </c>
      <c r="FE121" s="146" t="str">
        <f>IF(FF120&lt;0,"","+")</f>
        <v>+</v>
      </c>
      <c r="FF121" s="147" t="str">
        <f>SUBSTITUTE(FF120,",",".")</f>
        <v>1.25</v>
      </c>
    </row>
    <row r="122" spans="32:147" ht="15.75" customHeight="1">
      <c r="AF122" s="4">
        <v>121</v>
      </c>
      <c r="AG122" s="4">
        <v>4</v>
      </c>
      <c r="AH122" s="4">
        <v>1</v>
      </c>
      <c r="AI122" s="4">
        <v>1</v>
      </c>
      <c r="AJ122" t="s">
        <v>2017</v>
      </c>
      <c r="AK122">
        <v>10</v>
      </c>
      <c r="AL122">
        <v>9</v>
      </c>
      <c r="AM122">
        <v>3</v>
      </c>
      <c r="AN122">
        <v>1.75</v>
      </c>
      <c r="AO122">
        <v>27.12</v>
      </c>
      <c r="AP122">
        <v>100</v>
      </c>
      <c r="AQ122">
        <v>11.6</v>
      </c>
      <c r="AS122" s="38">
        <f t="shared" si="46"/>
        <v>121</v>
      </c>
      <c r="AT122" s="25" t="b">
        <f t="shared" si="47"/>
        <v>0</v>
      </c>
      <c r="AU122" s="25" t="b">
        <f t="shared" si="48"/>
        <v>0</v>
      </c>
      <c r="AV122" s="25">
        <f t="shared" si="40"/>
        <v>121</v>
      </c>
      <c r="AW122" s="25" t="b">
        <f t="shared" si="41"/>
        <v>0</v>
      </c>
      <c r="CL122" s="44"/>
      <c r="EK122" s="48"/>
      <c r="EL122" s="25"/>
      <c r="EM122" s="25"/>
      <c r="EN122" s="25"/>
      <c r="EO122" s="25"/>
      <c r="EP122" s="25"/>
      <c r="EQ122" s="25"/>
    </row>
    <row r="123" spans="32:157" ht="15.75" customHeight="1">
      <c r="AF123" s="4">
        <v>122</v>
      </c>
      <c r="AG123" s="4">
        <v>4</v>
      </c>
      <c r="AH123" s="4">
        <v>1</v>
      </c>
      <c r="AI123" s="4">
        <v>1</v>
      </c>
      <c r="AJ123" t="s">
        <v>2018</v>
      </c>
      <c r="AK123">
        <v>10</v>
      </c>
      <c r="AL123">
        <v>9</v>
      </c>
      <c r="AM123">
        <v>3</v>
      </c>
      <c r="AN123">
        <v>1.75</v>
      </c>
      <c r="AO123">
        <v>20.12</v>
      </c>
      <c r="AP123">
        <v>100</v>
      </c>
      <c r="AQ123">
        <v>11.6</v>
      </c>
      <c r="AS123" s="38">
        <f t="shared" si="46"/>
        <v>122</v>
      </c>
      <c r="AT123" s="25" t="b">
        <f t="shared" si="47"/>
        <v>0</v>
      </c>
      <c r="AU123" s="25" t="b">
        <f t="shared" si="48"/>
        <v>0</v>
      </c>
      <c r="AV123" s="25">
        <f t="shared" si="40"/>
        <v>122</v>
      </c>
      <c r="AW123" s="25" t="b">
        <f t="shared" si="41"/>
        <v>0</v>
      </c>
      <c r="BX123" s="9">
        <v>40</v>
      </c>
      <c r="BY123" s="45">
        <f>LOOKUP(BV$54,BZ$5:DJ$5,BZ123:DJ123)</f>
        <v>0</v>
      </c>
      <c r="BZ123" s="45"/>
      <c r="CL123" s="44"/>
      <c r="CR123" s="152" t="str">
        <f>CONCATENATE(BX123,DL97,DM97,DN97)</f>
        <v>40 CC IX-2 IY+0</v>
      </c>
      <c r="CX123" s="152" t="str">
        <f>CONCATENATE(BX123,DL88,FT21,DN88)</f>
        <v>40 CP IPA+90 IZ+0.75 DR+</v>
      </c>
      <c r="EK123" s="48"/>
      <c r="EL123" s="25"/>
      <c r="EM123" s="25"/>
      <c r="EN123" s="25"/>
      <c r="EO123" s="25"/>
      <c r="EP123" s="25"/>
      <c r="EQ123" s="25"/>
      <c r="FA123" s="146">
        <f>ROUND((C16+C17)-(BR9*BR7),3)</f>
        <v>-1</v>
      </c>
    </row>
    <row r="124" spans="32:157" ht="15.75" customHeight="1">
      <c r="AF124" s="4">
        <v>123</v>
      </c>
      <c r="AG124" s="4">
        <v>4</v>
      </c>
      <c r="AH124" s="4">
        <v>1</v>
      </c>
      <c r="AI124" s="4">
        <v>1</v>
      </c>
      <c r="AJ124" t="s">
        <v>2019</v>
      </c>
      <c r="AK124">
        <v>8</v>
      </c>
      <c r="AL124">
        <v>8</v>
      </c>
      <c r="AM124">
        <v>4</v>
      </c>
      <c r="AN124">
        <v>1</v>
      </c>
      <c r="AO124">
        <v>17.5</v>
      </c>
      <c r="AP124">
        <v>76</v>
      </c>
      <c r="AQ124">
        <v>9.8</v>
      </c>
      <c r="AS124" s="38">
        <f t="shared" si="46"/>
        <v>123</v>
      </c>
      <c r="AT124" s="25" t="b">
        <f t="shared" si="47"/>
        <v>0</v>
      </c>
      <c r="AU124" s="25" t="b">
        <f t="shared" si="48"/>
        <v>0</v>
      </c>
      <c r="AV124" s="25">
        <f t="shared" si="40"/>
        <v>123</v>
      </c>
      <c r="AW124" s="25" t="b">
        <f t="shared" si="41"/>
        <v>0</v>
      </c>
      <c r="CL124" s="44"/>
      <c r="EK124" s="143">
        <v>18</v>
      </c>
      <c r="EL124" s="18" t="s">
        <v>1555</v>
      </c>
      <c r="EM124" s="25" t="str">
        <f>EO109</f>
        <v>-1.838</v>
      </c>
      <c r="EN124" s="25" t="str">
        <f>EN97</f>
        <v> IY+0</v>
      </c>
      <c r="EO124" s="25"/>
      <c r="EP124" s="25"/>
      <c r="EQ124" s="25"/>
      <c r="EX124" s="143">
        <v>18</v>
      </c>
      <c r="EZ124" s="146">
        <f>IF(FA123&lt;0,"","+")</f>
      </c>
      <c r="FA124" s="147" t="str">
        <f>SUBSTITUTE(FA123,",",".")</f>
        <v>-1</v>
      </c>
    </row>
    <row r="125" spans="32:147" ht="15.75" customHeight="1">
      <c r="AF125" s="4">
        <v>124</v>
      </c>
      <c r="AG125" s="4">
        <v>4</v>
      </c>
      <c r="AH125" s="4">
        <v>1</v>
      </c>
      <c r="AI125" s="4">
        <v>1</v>
      </c>
      <c r="AJ125" t="s">
        <v>2020</v>
      </c>
      <c r="AK125">
        <v>8</v>
      </c>
      <c r="AL125">
        <v>8</v>
      </c>
      <c r="AM125">
        <v>3</v>
      </c>
      <c r="AN125">
        <v>1.75</v>
      </c>
      <c r="AO125">
        <v>27.12</v>
      </c>
      <c r="AP125">
        <v>76</v>
      </c>
      <c r="AQ125">
        <v>11.6</v>
      </c>
      <c r="AS125" s="38">
        <f t="shared" si="46"/>
        <v>124</v>
      </c>
      <c r="AT125" s="25" t="b">
        <f t="shared" si="47"/>
        <v>0</v>
      </c>
      <c r="AU125" s="25" t="b">
        <f t="shared" si="48"/>
        <v>0</v>
      </c>
      <c r="AV125" s="25">
        <f t="shared" si="40"/>
        <v>124</v>
      </c>
      <c r="AW125" s="25" t="b">
        <f t="shared" si="41"/>
        <v>0</v>
      </c>
      <c r="CL125" s="44"/>
      <c r="EK125" s="48"/>
      <c r="EL125" s="25"/>
      <c r="EM125" s="25"/>
      <c r="EN125" s="25"/>
      <c r="EO125" s="25"/>
      <c r="EP125" s="25"/>
      <c r="EQ125" s="25"/>
    </row>
    <row r="126" spans="32:147" ht="15.75" customHeight="1">
      <c r="AF126" s="4">
        <v>125</v>
      </c>
      <c r="AG126" s="4">
        <v>4</v>
      </c>
      <c r="AH126" s="4">
        <v>1</v>
      </c>
      <c r="AI126" s="4">
        <v>1</v>
      </c>
      <c r="AJ126" t="s">
        <v>2021</v>
      </c>
      <c r="AK126">
        <v>8</v>
      </c>
      <c r="AL126">
        <v>8</v>
      </c>
      <c r="AM126">
        <v>3</v>
      </c>
      <c r="AN126">
        <v>1.75</v>
      </c>
      <c r="AO126">
        <v>20.12</v>
      </c>
      <c r="AP126">
        <v>76</v>
      </c>
      <c r="AQ126">
        <v>11.6</v>
      </c>
      <c r="AS126" s="38">
        <f t="shared" si="46"/>
        <v>125</v>
      </c>
      <c r="AT126" s="25" t="b">
        <f t="shared" si="47"/>
        <v>0</v>
      </c>
      <c r="AU126" s="25" t="b">
        <f t="shared" si="48"/>
        <v>0</v>
      </c>
      <c r="AV126" s="25">
        <f t="shared" si="40"/>
        <v>125</v>
      </c>
      <c r="AW126" s="25" t="b">
        <f t="shared" si="41"/>
        <v>0</v>
      </c>
      <c r="BX126" s="9">
        <v>41</v>
      </c>
      <c r="BY126" s="45">
        <f>LOOKUP(BV$54,BZ$5:DJ$5,BZ126:DJ126)</f>
        <v>0</v>
      </c>
      <c r="BZ126" s="45"/>
      <c r="CL126" s="44"/>
      <c r="CR126" s="152" t="str">
        <f>CONCATENATE(BX126,DL100,DM100,DN100)</f>
        <v>41 CP IPA+90 IZ+0.375 DR+</v>
      </c>
      <c r="CX126" s="152" t="str">
        <f>CONCATENATE(BX126,FN103,FV24,DN82,FX24)</f>
        <v>41 CC IX+4.046 IY-0.023</v>
      </c>
      <c r="EK126" s="48"/>
      <c r="EL126" s="25"/>
      <c r="EM126" s="25"/>
      <c r="EN126" s="25"/>
      <c r="EO126" s="25"/>
      <c r="EP126" s="25"/>
      <c r="EQ126" s="25"/>
    </row>
    <row r="127" spans="32:147" ht="15.75" customHeight="1">
      <c r="AF127" s="4">
        <v>126</v>
      </c>
      <c r="AG127" s="4">
        <v>4</v>
      </c>
      <c r="AH127" s="4">
        <v>1</v>
      </c>
      <c r="AI127" s="4">
        <v>1</v>
      </c>
      <c r="AJ127" t="s">
        <v>2022</v>
      </c>
      <c r="AK127">
        <v>8</v>
      </c>
      <c r="AL127">
        <v>7.5</v>
      </c>
      <c r="AM127">
        <v>3</v>
      </c>
      <c r="AN127">
        <v>1.5</v>
      </c>
      <c r="AO127">
        <v>32.25</v>
      </c>
      <c r="AP127">
        <v>76</v>
      </c>
      <c r="AQ127">
        <v>9.6</v>
      </c>
      <c r="AS127" s="38">
        <f t="shared" si="46"/>
        <v>126</v>
      </c>
      <c r="AT127" s="25" t="b">
        <f t="shared" si="47"/>
        <v>0</v>
      </c>
      <c r="AU127" s="25" t="b">
        <f t="shared" si="48"/>
        <v>0</v>
      </c>
      <c r="AV127" s="25">
        <f t="shared" si="40"/>
        <v>126</v>
      </c>
      <c r="AW127" s="25" t="b">
        <f t="shared" si="41"/>
        <v>0</v>
      </c>
      <c r="CL127" s="44"/>
      <c r="EK127" s="48"/>
      <c r="EL127" s="25"/>
      <c r="EM127" s="25"/>
      <c r="EN127" s="25"/>
      <c r="EO127" s="25"/>
      <c r="EP127" s="25"/>
      <c r="EQ127" s="25"/>
    </row>
    <row r="128" spans="32:147" ht="15.75" customHeight="1">
      <c r="AF128" s="4">
        <v>127</v>
      </c>
      <c r="AG128" s="4">
        <v>4</v>
      </c>
      <c r="AH128" s="4">
        <v>1</v>
      </c>
      <c r="AI128" s="4">
        <v>1</v>
      </c>
      <c r="AJ128" t="s">
        <v>2023</v>
      </c>
      <c r="AK128">
        <v>8</v>
      </c>
      <c r="AL128">
        <v>7.5</v>
      </c>
      <c r="AM128">
        <v>3</v>
      </c>
      <c r="AN128">
        <v>1.5</v>
      </c>
      <c r="AO128">
        <v>27.75</v>
      </c>
      <c r="AP128">
        <v>76</v>
      </c>
      <c r="AQ128">
        <v>9.6</v>
      </c>
      <c r="AS128" s="38">
        <f t="shared" si="46"/>
        <v>127</v>
      </c>
      <c r="AT128" s="25" t="b">
        <f t="shared" si="47"/>
        <v>0</v>
      </c>
      <c r="AU128" s="25" t="b">
        <f t="shared" si="48"/>
        <v>0</v>
      </c>
      <c r="AV128" s="25">
        <f t="shared" si="40"/>
        <v>127</v>
      </c>
      <c r="AW128" s="25" t="b">
        <f t="shared" si="41"/>
        <v>0</v>
      </c>
      <c r="CL128" s="44"/>
      <c r="EK128" s="48"/>
      <c r="EL128" s="25"/>
      <c r="EM128" s="25"/>
      <c r="EN128" s="25"/>
      <c r="EO128" s="25"/>
      <c r="EP128" s="25"/>
      <c r="EQ128" s="25"/>
    </row>
    <row r="129" spans="32:147" ht="15.75" customHeight="1">
      <c r="AF129" s="4">
        <v>128</v>
      </c>
      <c r="AG129" s="4">
        <v>4</v>
      </c>
      <c r="AH129" s="4">
        <v>1</v>
      </c>
      <c r="AI129" s="4">
        <v>1</v>
      </c>
      <c r="AJ129" t="s">
        <v>2024</v>
      </c>
      <c r="AK129">
        <v>8</v>
      </c>
      <c r="AL129">
        <v>7.5</v>
      </c>
      <c r="AM129">
        <v>3</v>
      </c>
      <c r="AN129">
        <v>1.5</v>
      </c>
      <c r="AO129">
        <v>21.75</v>
      </c>
      <c r="AP129">
        <v>76</v>
      </c>
      <c r="AQ129">
        <v>9.6</v>
      </c>
      <c r="AS129" s="38">
        <f t="shared" si="46"/>
        <v>128</v>
      </c>
      <c r="AT129" s="25" t="b">
        <f t="shared" si="47"/>
        <v>0</v>
      </c>
      <c r="AU129" s="25" t="b">
        <f t="shared" si="48"/>
        <v>0</v>
      </c>
      <c r="AV129" s="25">
        <f t="shared" si="40"/>
        <v>128</v>
      </c>
      <c r="AW129" s="25" t="b">
        <f t="shared" si="41"/>
        <v>0</v>
      </c>
      <c r="BX129" s="9">
        <v>42</v>
      </c>
      <c r="BY129" s="45">
        <f>LOOKUP(BV$54,BZ$5:DJ$5,BZ129:DJ129)</f>
        <v>0</v>
      </c>
      <c r="BZ129" s="45"/>
      <c r="CL129" s="44"/>
      <c r="CR129" s="152" t="str">
        <f>CONCATENATE(BX129,DL103,DM103,DN103,DO103,DP103)</f>
        <v>42 L IX-2 IY-2 R0</v>
      </c>
      <c r="CX129" s="152" t="str">
        <f>CONCATENATE(BX129,DL88,FT24,DN88)</f>
        <v>42 CP IPA+90 IZ+0.75 DR+</v>
      </c>
      <c r="EK129" s="48"/>
      <c r="EL129" s="25"/>
      <c r="EM129" s="25"/>
      <c r="EN129" s="25"/>
      <c r="EO129" s="25"/>
      <c r="EP129" s="25"/>
      <c r="EQ129" s="25"/>
    </row>
    <row r="130" spans="32:147" ht="15.75" customHeight="1">
      <c r="AF130" s="4">
        <v>129</v>
      </c>
      <c r="AG130" s="4">
        <v>4</v>
      </c>
      <c r="AH130" s="4">
        <v>1</v>
      </c>
      <c r="AI130" s="4">
        <v>1</v>
      </c>
      <c r="AJ130" t="s">
        <v>2025</v>
      </c>
      <c r="AK130">
        <v>8</v>
      </c>
      <c r="AL130">
        <v>7.5</v>
      </c>
      <c r="AM130">
        <v>3</v>
      </c>
      <c r="AN130">
        <v>1.5</v>
      </c>
      <c r="AO130">
        <v>17.25</v>
      </c>
      <c r="AP130">
        <v>76</v>
      </c>
      <c r="AQ130">
        <v>9.6</v>
      </c>
      <c r="AS130" s="38">
        <f aca="true" t="shared" si="49" ref="AS130:AS161">IF(C$14&gt;=AQ130,AF130)</f>
        <v>129</v>
      </c>
      <c r="AT130" s="25" t="b">
        <f aca="true" t="shared" si="50" ref="AT130:AT161">IF(C$15=AN130,AF130)</f>
        <v>0</v>
      </c>
      <c r="AU130" s="25" t="b">
        <f aca="true" t="shared" si="51" ref="AU130:AU161">IF(C$16&lt;=AO130,AF130)</f>
        <v>0</v>
      </c>
      <c r="AV130" s="25">
        <f t="shared" si="40"/>
        <v>129</v>
      </c>
      <c r="AW130" s="25" t="b">
        <f t="shared" si="41"/>
        <v>0</v>
      </c>
      <c r="CL130" s="44"/>
      <c r="EK130" s="143">
        <v>20</v>
      </c>
      <c r="EL130" s="18" t="s">
        <v>1548</v>
      </c>
      <c r="EM130" s="25" t="str">
        <f>EO109</f>
        <v>-1.838</v>
      </c>
      <c r="EN130" s="25" t="str">
        <f>EN103</f>
        <v> IY</v>
      </c>
      <c r="EO130" s="25" t="str">
        <f>EO109</f>
        <v>-1.838</v>
      </c>
      <c r="EP130" s="25" t="str">
        <f>EP103</f>
        <v> R0</v>
      </c>
      <c r="EQ130" s="25"/>
    </row>
    <row r="131" spans="32:147" ht="15.75" customHeight="1">
      <c r="AF131" s="4">
        <v>130</v>
      </c>
      <c r="AG131" s="4">
        <v>4</v>
      </c>
      <c r="AH131" s="4">
        <v>1</v>
      </c>
      <c r="AI131" s="4">
        <v>1</v>
      </c>
      <c r="AJ131" t="s">
        <v>2026</v>
      </c>
      <c r="AK131">
        <v>6</v>
      </c>
      <c r="AL131">
        <v>6</v>
      </c>
      <c r="AM131">
        <v>3</v>
      </c>
      <c r="AN131">
        <v>1.25</v>
      </c>
      <c r="AO131">
        <v>21.87</v>
      </c>
      <c r="AP131">
        <v>63</v>
      </c>
      <c r="AQ131">
        <v>7.8</v>
      </c>
      <c r="AS131" s="38">
        <f t="shared" si="49"/>
        <v>130</v>
      </c>
      <c r="AT131" s="25" t="b">
        <f t="shared" si="50"/>
        <v>0</v>
      </c>
      <c r="AU131" s="25" t="b">
        <f t="shared" si="51"/>
        <v>0</v>
      </c>
      <c r="AV131" s="25">
        <f aca="true" t="shared" si="52" ref="AV131:AV194">IF(AI131=BN$10,AF131)</f>
        <v>130</v>
      </c>
      <c r="AW131" s="25" t="b">
        <f aca="true" t="shared" si="53" ref="AW131:AW194">IF(AS131=FALSE,FALSE,IF(AT131=FALSE,FALSE,IF(AU131=FALSE,FALSE,IF(AV131=FALSE,FALSE,AF131))))</f>
        <v>0</v>
      </c>
      <c r="CL131" s="44"/>
      <c r="EK131" s="48"/>
      <c r="EL131" s="25"/>
      <c r="EM131" s="25"/>
      <c r="EN131" s="25"/>
      <c r="EO131" s="25"/>
      <c r="EP131" s="25"/>
      <c r="EQ131" s="25"/>
    </row>
    <row r="132" spans="32:147" ht="15.75" customHeight="1">
      <c r="AF132" s="4">
        <v>131</v>
      </c>
      <c r="AG132" s="4">
        <v>4</v>
      </c>
      <c r="AH132" s="4">
        <v>1</v>
      </c>
      <c r="AI132" s="4">
        <v>1</v>
      </c>
      <c r="AJ132" t="s">
        <v>2027</v>
      </c>
      <c r="AK132">
        <v>6</v>
      </c>
      <c r="AL132">
        <v>6</v>
      </c>
      <c r="AM132">
        <v>3</v>
      </c>
      <c r="AN132">
        <v>1.25</v>
      </c>
      <c r="AO132">
        <v>18.12</v>
      </c>
      <c r="AP132">
        <v>63</v>
      </c>
      <c r="AQ132">
        <v>7.8</v>
      </c>
      <c r="AS132" s="38">
        <f t="shared" si="49"/>
        <v>131</v>
      </c>
      <c r="AT132" s="25" t="b">
        <f t="shared" si="50"/>
        <v>0</v>
      </c>
      <c r="AU132" s="25" t="b">
        <f t="shared" si="51"/>
        <v>0</v>
      </c>
      <c r="AV132" s="25">
        <f t="shared" si="52"/>
        <v>131</v>
      </c>
      <c r="AW132" s="25" t="b">
        <f t="shared" si="53"/>
        <v>0</v>
      </c>
      <c r="BX132" s="9">
        <v>43</v>
      </c>
      <c r="BY132" s="45">
        <f>LOOKUP(BV$54,BZ$5:DJ$5,BZ132:DJ132)</f>
        <v>0</v>
      </c>
      <c r="BZ132" s="45"/>
      <c r="CL132" s="44"/>
      <c r="CR132" s="152" t="str">
        <f>CONCATENATE(BX132,DY106,FE121,FF121,EA106)</f>
        <v>43 L IZ+1.25 FMAX</v>
      </c>
      <c r="CX132" s="152" t="str">
        <f>CONCATENATE(BX132,FN103,FV27,FN91,FX27)</f>
        <v>43 CC IX+0.023 IY+4.069</v>
      </c>
      <c r="EK132" s="48"/>
      <c r="EL132" s="25"/>
      <c r="EM132" s="25"/>
      <c r="EN132" s="25"/>
      <c r="EO132" s="25"/>
      <c r="EP132" s="25"/>
      <c r="EQ132" s="25"/>
    </row>
    <row r="133" spans="32:147" ht="15.75" customHeight="1">
      <c r="AF133" s="4">
        <v>132</v>
      </c>
      <c r="AG133" s="4">
        <v>4</v>
      </c>
      <c r="AH133" s="4">
        <v>1</v>
      </c>
      <c r="AI133" s="4">
        <v>1</v>
      </c>
      <c r="AJ133" t="s">
        <v>2028</v>
      </c>
      <c r="AK133">
        <v>6</v>
      </c>
      <c r="AL133">
        <v>6</v>
      </c>
      <c r="AM133">
        <v>3</v>
      </c>
      <c r="AN133">
        <v>1.25</v>
      </c>
      <c r="AO133">
        <v>14.37</v>
      </c>
      <c r="AP133">
        <v>63</v>
      </c>
      <c r="AQ133">
        <v>7.8</v>
      </c>
      <c r="AS133" s="38">
        <f t="shared" si="49"/>
        <v>132</v>
      </c>
      <c r="AT133" s="25" t="b">
        <f t="shared" si="50"/>
        <v>0</v>
      </c>
      <c r="AU133" s="25" t="b">
        <f t="shared" si="51"/>
        <v>0</v>
      </c>
      <c r="AV133" s="25">
        <f t="shared" si="52"/>
        <v>132</v>
      </c>
      <c r="AW133" s="25" t="b">
        <f t="shared" si="53"/>
        <v>0</v>
      </c>
      <c r="CL133" s="44"/>
      <c r="EK133" s="143">
        <v>21</v>
      </c>
      <c r="EL133" s="18" t="s">
        <v>1551</v>
      </c>
      <c r="EM133" s="25" t="str">
        <f>EM106</f>
        <v>-3.75</v>
      </c>
      <c r="EN133" s="25" t="str">
        <f>EN106</f>
        <v> FMAX</v>
      </c>
      <c r="EO133" s="25"/>
      <c r="EP133" s="25"/>
      <c r="EQ133" s="25"/>
    </row>
    <row r="134" spans="32:147" ht="15.75" customHeight="1">
      <c r="AF134" s="4">
        <v>133</v>
      </c>
      <c r="AG134" s="4">
        <v>4</v>
      </c>
      <c r="AH134" s="4">
        <v>1</v>
      </c>
      <c r="AI134" s="4">
        <v>1</v>
      </c>
      <c r="AJ134" t="s">
        <v>2029</v>
      </c>
      <c r="AK134">
        <v>6</v>
      </c>
      <c r="AL134">
        <v>4.5</v>
      </c>
      <c r="AM134">
        <v>3</v>
      </c>
      <c r="AN134">
        <v>1</v>
      </c>
      <c r="AO134">
        <v>16.5</v>
      </c>
      <c r="AP134">
        <v>63</v>
      </c>
      <c r="AQ134">
        <v>5.8</v>
      </c>
      <c r="AS134" s="38">
        <f t="shared" si="49"/>
        <v>133</v>
      </c>
      <c r="AT134" s="25" t="b">
        <f t="shared" si="50"/>
        <v>0</v>
      </c>
      <c r="AU134" s="25" t="b">
        <f t="shared" si="51"/>
        <v>0</v>
      </c>
      <c r="AV134" s="25">
        <f t="shared" si="52"/>
        <v>133</v>
      </c>
      <c r="AW134" s="25" t="b">
        <f t="shared" si="53"/>
        <v>0</v>
      </c>
      <c r="CL134" s="44"/>
      <c r="EK134" s="48"/>
      <c r="EL134" s="25"/>
      <c r="EM134" s="25"/>
      <c r="EN134" s="25"/>
      <c r="EO134" s="25"/>
      <c r="EP134" s="25"/>
      <c r="EQ134" s="25"/>
    </row>
    <row r="135" spans="32:147" ht="15.75" customHeight="1">
      <c r="AF135" s="4">
        <v>134</v>
      </c>
      <c r="AG135" s="4">
        <v>4</v>
      </c>
      <c r="AH135" s="4">
        <v>1</v>
      </c>
      <c r="AI135" s="4">
        <v>1</v>
      </c>
      <c r="AJ135" t="s">
        <v>2030</v>
      </c>
      <c r="AK135">
        <v>6</v>
      </c>
      <c r="AL135">
        <v>4.5</v>
      </c>
      <c r="AM135">
        <v>3</v>
      </c>
      <c r="AN135">
        <v>1</v>
      </c>
      <c r="AO135">
        <v>13.5</v>
      </c>
      <c r="AP135">
        <v>63</v>
      </c>
      <c r="AQ135">
        <v>5.8</v>
      </c>
      <c r="AS135" s="38">
        <f t="shared" si="49"/>
        <v>134</v>
      </c>
      <c r="AT135" s="25" t="b">
        <f t="shared" si="50"/>
        <v>0</v>
      </c>
      <c r="AU135" s="25" t="b">
        <f t="shared" si="51"/>
        <v>0</v>
      </c>
      <c r="AV135" s="25">
        <f t="shared" si="52"/>
        <v>134</v>
      </c>
      <c r="AW135" s="25" t="b">
        <f t="shared" si="53"/>
        <v>0</v>
      </c>
      <c r="BX135" s="9">
        <v>44</v>
      </c>
      <c r="BY135" s="45">
        <f>LOOKUP(BV$54,BZ$5:DJ$5,BZ135:DJ135)</f>
        <v>0</v>
      </c>
      <c r="BZ135" s="45"/>
      <c r="CL135" s="44"/>
      <c r="CX135" s="152" t="str">
        <f>CONCATENATE(BX135,DL88,FT27,DN88)</f>
        <v>44 CP IPA+90 IZ+0.75 DR+</v>
      </c>
      <c r="EK135" s="48"/>
      <c r="EL135" s="25"/>
      <c r="EM135" s="25"/>
      <c r="EN135" s="25"/>
      <c r="EO135" s="25"/>
      <c r="EP135" s="25"/>
      <c r="EQ135" s="25"/>
    </row>
    <row r="136" spans="32:165" ht="15.75" customHeight="1">
      <c r="AF136" s="4">
        <v>135</v>
      </c>
      <c r="AG136" s="4">
        <v>4</v>
      </c>
      <c r="AH136" s="4">
        <v>1</v>
      </c>
      <c r="AI136" s="4">
        <v>1</v>
      </c>
      <c r="AJ136" t="s">
        <v>2031</v>
      </c>
      <c r="AK136">
        <v>6</v>
      </c>
      <c r="AL136">
        <v>4.5</v>
      </c>
      <c r="AM136">
        <v>3</v>
      </c>
      <c r="AN136">
        <v>1</v>
      </c>
      <c r="AO136">
        <v>10.5</v>
      </c>
      <c r="AP136">
        <v>63</v>
      </c>
      <c r="AQ136">
        <v>5.8</v>
      </c>
      <c r="AS136" s="38">
        <f t="shared" si="49"/>
        <v>135</v>
      </c>
      <c r="AT136" s="25" t="b">
        <f t="shared" si="50"/>
        <v>0</v>
      </c>
      <c r="AU136" s="25" t="b">
        <f t="shared" si="51"/>
        <v>0</v>
      </c>
      <c r="AV136" s="25">
        <f t="shared" si="52"/>
        <v>135</v>
      </c>
      <c r="AW136" s="25" t="b">
        <f t="shared" si="53"/>
        <v>0</v>
      </c>
      <c r="CL136" s="44"/>
      <c r="EK136" s="48"/>
      <c r="EL136" s="25"/>
      <c r="EM136" s="25"/>
      <c r="EN136" s="25"/>
      <c r="EO136" s="25"/>
      <c r="EP136" s="25"/>
      <c r="EQ136" s="25"/>
      <c r="FH136" s="143">
        <v>22</v>
      </c>
      <c r="FI136" s="146" t="s">
        <v>24</v>
      </c>
    </row>
    <row r="137" spans="32:90" ht="15.75" customHeight="1">
      <c r="AF137" s="4">
        <v>136</v>
      </c>
      <c r="AG137" s="4">
        <v>4</v>
      </c>
      <c r="AH137" s="4">
        <v>1</v>
      </c>
      <c r="AI137" s="4">
        <v>1</v>
      </c>
      <c r="AJ137" t="s">
        <v>2032</v>
      </c>
      <c r="AK137">
        <v>4</v>
      </c>
      <c r="AL137">
        <v>3.8</v>
      </c>
      <c r="AM137">
        <v>3</v>
      </c>
      <c r="AN137">
        <v>0.8</v>
      </c>
      <c r="AO137">
        <v>8.4</v>
      </c>
      <c r="AP137">
        <v>50</v>
      </c>
      <c r="AQ137">
        <v>4.8</v>
      </c>
      <c r="AS137" s="38">
        <f t="shared" si="49"/>
        <v>136</v>
      </c>
      <c r="AT137" s="25" t="b">
        <f t="shared" si="50"/>
        <v>0</v>
      </c>
      <c r="AU137" s="25" t="b">
        <f t="shared" si="51"/>
        <v>0</v>
      </c>
      <c r="AV137" s="25">
        <f t="shared" si="52"/>
        <v>136</v>
      </c>
      <c r="AW137" s="25" t="b">
        <f t="shared" si="53"/>
        <v>0</v>
      </c>
      <c r="CL137" s="44"/>
    </row>
    <row r="138" spans="32:102" ht="15.75" customHeight="1">
      <c r="AF138" s="4">
        <v>137</v>
      </c>
      <c r="AG138" s="4">
        <v>4</v>
      </c>
      <c r="AH138" s="4">
        <v>1</v>
      </c>
      <c r="AI138" s="4">
        <v>1</v>
      </c>
      <c r="AJ138" t="s">
        <v>2033</v>
      </c>
      <c r="AK138">
        <v>4</v>
      </c>
      <c r="AL138">
        <v>3.8</v>
      </c>
      <c r="AM138">
        <v>3</v>
      </c>
      <c r="AN138">
        <v>0.8</v>
      </c>
      <c r="AO138">
        <v>13.2</v>
      </c>
      <c r="AP138">
        <v>50</v>
      </c>
      <c r="AQ138">
        <v>4.8</v>
      </c>
      <c r="AS138" s="38">
        <f t="shared" si="49"/>
        <v>137</v>
      </c>
      <c r="AT138" s="25" t="b">
        <f t="shared" si="50"/>
        <v>0</v>
      </c>
      <c r="AU138" s="25" t="b">
        <f t="shared" si="51"/>
        <v>0</v>
      </c>
      <c r="AV138" s="25">
        <f t="shared" si="52"/>
        <v>137</v>
      </c>
      <c r="AW138" s="25" t="b">
        <f t="shared" si="53"/>
        <v>0</v>
      </c>
      <c r="BX138" s="9">
        <v>45</v>
      </c>
      <c r="BY138" s="45">
        <f>LOOKUP(BV$54,BZ$5:DJ$5,BZ138:DJ138)</f>
        <v>0</v>
      </c>
      <c r="BZ138" s="45"/>
      <c r="CL138" s="44"/>
      <c r="CX138" s="152" t="str">
        <f>CONCATENATE(BX138,DL97,DM97,DN97)</f>
        <v>45 CC IX-2 IY+0</v>
      </c>
    </row>
    <row r="139" spans="32:90" ht="15.75" customHeight="1">
      <c r="AF139" s="4">
        <v>138</v>
      </c>
      <c r="AG139" s="4">
        <v>4</v>
      </c>
      <c r="AH139" s="4">
        <v>1</v>
      </c>
      <c r="AI139" s="4">
        <v>1</v>
      </c>
      <c r="AJ139" t="s">
        <v>2034</v>
      </c>
      <c r="AK139">
        <v>4</v>
      </c>
      <c r="AL139">
        <v>3.8</v>
      </c>
      <c r="AM139">
        <v>3</v>
      </c>
      <c r="AN139">
        <v>0.8</v>
      </c>
      <c r="AO139">
        <v>10.8</v>
      </c>
      <c r="AP139">
        <v>50</v>
      </c>
      <c r="AQ139">
        <v>4.8</v>
      </c>
      <c r="AS139" s="38">
        <f t="shared" si="49"/>
        <v>138</v>
      </c>
      <c r="AT139" s="25" t="b">
        <f t="shared" si="50"/>
        <v>0</v>
      </c>
      <c r="AU139" s="25" t="b">
        <f t="shared" si="51"/>
        <v>0</v>
      </c>
      <c r="AV139" s="25">
        <f t="shared" si="52"/>
        <v>138</v>
      </c>
      <c r="AW139" s="25" t="b">
        <f t="shared" si="53"/>
        <v>0</v>
      </c>
      <c r="CL139" s="44"/>
    </row>
    <row r="140" spans="32:90" ht="15.75" customHeight="1">
      <c r="AF140" s="4">
        <v>139</v>
      </c>
      <c r="AG140" s="4">
        <v>1</v>
      </c>
      <c r="AH140" s="4">
        <v>1</v>
      </c>
      <c r="AI140" s="4">
        <v>1</v>
      </c>
      <c r="AJ140" t="s">
        <v>2035</v>
      </c>
      <c r="AK140">
        <v>25</v>
      </c>
      <c r="AL140">
        <v>25</v>
      </c>
      <c r="AM140">
        <v>6</v>
      </c>
      <c r="AN140">
        <v>2</v>
      </c>
      <c r="AO140">
        <v>57</v>
      </c>
      <c r="AP140">
        <v>130</v>
      </c>
      <c r="AQ140">
        <v>29.6</v>
      </c>
      <c r="AS140" s="38" t="b">
        <f t="shared" si="49"/>
        <v>0</v>
      </c>
      <c r="AT140" s="25" t="b">
        <f t="shared" si="50"/>
        <v>0</v>
      </c>
      <c r="AU140" s="25">
        <f t="shared" si="51"/>
        <v>139</v>
      </c>
      <c r="AV140" s="25">
        <f t="shared" si="52"/>
        <v>139</v>
      </c>
      <c r="AW140" s="25" t="b">
        <f t="shared" si="53"/>
        <v>0</v>
      </c>
      <c r="CL140" s="44"/>
    </row>
    <row r="141" spans="32:102" ht="15.75" customHeight="1">
      <c r="AF141" s="4">
        <v>140</v>
      </c>
      <c r="AG141" s="4">
        <v>1</v>
      </c>
      <c r="AH141" s="4">
        <v>1</v>
      </c>
      <c r="AI141" s="4">
        <v>1</v>
      </c>
      <c r="AJ141" t="s">
        <v>2036</v>
      </c>
      <c r="AK141">
        <v>25</v>
      </c>
      <c r="AL141">
        <v>25</v>
      </c>
      <c r="AM141">
        <v>4</v>
      </c>
      <c r="AN141">
        <v>3</v>
      </c>
      <c r="AO141">
        <v>61.5</v>
      </c>
      <c r="AP141">
        <v>130</v>
      </c>
      <c r="AQ141">
        <v>32.6</v>
      </c>
      <c r="AS141" s="38" t="b">
        <f t="shared" si="49"/>
        <v>0</v>
      </c>
      <c r="AT141" s="25">
        <f t="shared" si="50"/>
        <v>140</v>
      </c>
      <c r="AU141" s="25">
        <f t="shared" si="51"/>
        <v>140</v>
      </c>
      <c r="AV141" s="25">
        <f t="shared" si="52"/>
        <v>140</v>
      </c>
      <c r="AW141" s="25" t="b">
        <f t="shared" si="53"/>
        <v>0</v>
      </c>
      <c r="BX141" s="9">
        <v>46</v>
      </c>
      <c r="BY141" s="45">
        <f>LOOKUP(BV$54,BZ$5:DJ$5,BZ141:DJ141)</f>
        <v>0</v>
      </c>
      <c r="BZ141" s="45"/>
      <c r="CL141" s="44"/>
      <c r="CX141" s="152" t="str">
        <f>CONCATENATE(BX141,DL100,DM100,DN100)</f>
        <v>46 CP IPA+90 IZ+0.375 DR+</v>
      </c>
    </row>
    <row r="142" spans="32:90" ht="15.75" customHeight="1">
      <c r="AF142" s="4">
        <v>141</v>
      </c>
      <c r="AG142" s="4">
        <v>1</v>
      </c>
      <c r="AH142" s="4">
        <v>1</v>
      </c>
      <c r="AI142" s="4">
        <v>1</v>
      </c>
      <c r="AJ142" t="s">
        <v>2037</v>
      </c>
      <c r="AK142">
        <v>25</v>
      </c>
      <c r="AL142">
        <v>25</v>
      </c>
      <c r="AM142">
        <v>3</v>
      </c>
      <c r="AN142">
        <v>4</v>
      </c>
      <c r="AO142">
        <v>78</v>
      </c>
      <c r="AP142">
        <v>150</v>
      </c>
      <c r="AQ142">
        <v>35.6</v>
      </c>
      <c r="AS142" s="38" t="b">
        <f t="shared" si="49"/>
        <v>0</v>
      </c>
      <c r="AT142" s="25" t="b">
        <f t="shared" si="50"/>
        <v>0</v>
      </c>
      <c r="AU142" s="25">
        <f t="shared" si="51"/>
        <v>141</v>
      </c>
      <c r="AV142" s="25">
        <f t="shared" si="52"/>
        <v>141</v>
      </c>
      <c r="AW142" s="25" t="b">
        <f t="shared" si="53"/>
        <v>0</v>
      </c>
      <c r="CL142" s="44"/>
    </row>
    <row r="143" spans="32:90" ht="15.75" customHeight="1">
      <c r="AF143" s="4">
        <v>142</v>
      </c>
      <c r="AG143" s="4">
        <v>1</v>
      </c>
      <c r="AH143" s="4">
        <v>1</v>
      </c>
      <c r="AI143" s="4">
        <v>2</v>
      </c>
      <c r="AJ143" t="s">
        <v>2038</v>
      </c>
      <c r="AK143">
        <v>25</v>
      </c>
      <c r="AL143">
        <v>25</v>
      </c>
      <c r="AM143">
        <v>3</v>
      </c>
      <c r="AN143">
        <v>6</v>
      </c>
      <c r="AO143">
        <v>61.38</v>
      </c>
      <c r="AP143">
        <v>130</v>
      </c>
      <c r="AQ143">
        <v>34.525</v>
      </c>
      <c r="AS143" s="38" t="b">
        <f t="shared" si="49"/>
        <v>0</v>
      </c>
      <c r="AT143" s="25" t="b">
        <f t="shared" si="50"/>
        <v>0</v>
      </c>
      <c r="AU143" s="25">
        <f t="shared" si="51"/>
        <v>142</v>
      </c>
      <c r="AV143" s="25" t="b">
        <f t="shared" si="52"/>
        <v>0</v>
      </c>
      <c r="AW143" s="25" t="b">
        <f t="shared" si="53"/>
        <v>0</v>
      </c>
      <c r="CL143" s="44"/>
    </row>
    <row r="144" spans="32:102" ht="15.75" customHeight="1">
      <c r="AF144" s="4">
        <v>143</v>
      </c>
      <c r="AG144" s="4">
        <v>1</v>
      </c>
      <c r="AH144" s="4">
        <v>1</v>
      </c>
      <c r="AI144" s="4">
        <v>1</v>
      </c>
      <c r="AJ144" t="s">
        <v>2039</v>
      </c>
      <c r="AK144">
        <v>25</v>
      </c>
      <c r="AL144">
        <v>25</v>
      </c>
      <c r="AM144">
        <v>3</v>
      </c>
      <c r="AN144">
        <v>4</v>
      </c>
      <c r="AO144">
        <v>58</v>
      </c>
      <c r="AP144">
        <v>130</v>
      </c>
      <c r="AQ144">
        <v>35.6</v>
      </c>
      <c r="AS144" s="38" t="b">
        <f t="shared" si="49"/>
        <v>0</v>
      </c>
      <c r="AT144" s="25" t="b">
        <f t="shared" si="50"/>
        <v>0</v>
      </c>
      <c r="AU144" s="25">
        <f t="shared" si="51"/>
        <v>143</v>
      </c>
      <c r="AV144" s="25">
        <f t="shared" si="52"/>
        <v>143</v>
      </c>
      <c r="AW144" s="25" t="b">
        <f t="shared" si="53"/>
        <v>0</v>
      </c>
      <c r="BX144" s="9">
        <v>47</v>
      </c>
      <c r="BY144" s="45">
        <f>LOOKUP(BV$54,BZ$5:DJ$5,BZ144:DJ144)</f>
        <v>0</v>
      </c>
      <c r="BZ144" s="45"/>
      <c r="CL144" s="44"/>
      <c r="CX144" s="152" t="str">
        <f>CONCATENATE(BX144,DL103,FQ33,DN103,DO103,DP103)</f>
        <v>47 L IX-2.092 IY-2 R0</v>
      </c>
    </row>
    <row r="145" spans="32:90" ht="15.75" customHeight="1">
      <c r="AF145" s="4">
        <v>144</v>
      </c>
      <c r="AG145" s="4">
        <v>1</v>
      </c>
      <c r="AH145" s="4">
        <v>1</v>
      </c>
      <c r="AI145" s="4">
        <v>1</v>
      </c>
      <c r="AJ145" t="s">
        <v>2040</v>
      </c>
      <c r="AK145">
        <v>20</v>
      </c>
      <c r="AL145">
        <v>20</v>
      </c>
      <c r="AM145">
        <v>6</v>
      </c>
      <c r="AN145">
        <v>2</v>
      </c>
      <c r="AO145">
        <v>43</v>
      </c>
      <c r="AP145">
        <v>100</v>
      </c>
      <c r="AQ145">
        <v>23.6</v>
      </c>
      <c r="AS145" s="38">
        <f t="shared" si="49"/>
        <v>144</v>
      </c>
      <c r="AT145" s="25" t="b">
        <f t="shared" si="50"/>
        <v>0</v>
      </c>
      <c r="AU145" s="25">
        <f t="shared" si="51"/>
        <v>144</v>
      </c>
      <c r="AV145" s="25">
        <f t="shared" si="52"/>
        <v>144</v>
      </c>
      <c r="AW145" s="25" t="b">
        <f t="shared" si="53"/>
        <v>0</v>
      </c>
      <c r="CL145" s="44"/>
    </row>
    <row r="146" spans="32:90" ht="15.75" customHeight="1">
      <c r="AF146" s="4">
        <v>145</v>
      </c>
      <c r="AG146" s="4">
        <v>1</v>
      </c>
      <c r="AH146" s="4">
        <v>1</v>
      </c>
      <c r="AI146" s="4">
        <v>2</v>
      </c>
      <c r="AJ146" t="s">
        <v>2041</v>
      </c>
      <c r="AK146">
        <v>20</v>
      </c>
      <c r="AL146">
        <v>20</v>
      </c>
      <c r="AM146">
        <v>4</v>
      </c>
      <c r="AN146">
        <v>8</v>
      </c>
      <c r="AO146">
        <v>49.21</v>
      </c>
      <c r="AP146">
        <v>120</v>
      </c>
      <c r="AQ146">
        <v>26</v>
      </c>
      <c r="AS146" s="38" t="b">
        <f t="shared" si="49"/>
        <v>0</v>
      </c>
      <c r="AT146" s="25" t="b">
        <f t="shared" si="50"/>
        <v>0</v>
      </c>
      <c r="AU146" s="25">
        <f t="shared" si="51"/>
        <v>145</v>
      </c>
      <c r="AV146" s="25" t="b">
        <f t="shared" si="52"/>
        <v>0</v>
      </c>
      <c r="AW146" s="25" t="b">
        <f t="shared" si="53"/>
        <v>0</v>
      </c>
      <c r="CL146" s="44"/>
    </row>
    <row r="147" spans="32:102" ht="15.75" customHeight="1">
      <c r="AF147" s="4">
        <v>146</v>
      </c>
      <c r="AG147" s="4">
        <v>1</v>
      </c>
      <c r="AH147" s="4">
        <v>1</v>
      </c>
      <c r="AI147" s="4">
        <v>1</v>
      </c>
      <c r="AJ147" t="s">
        <v>2042</v>
      </c>
      <c r="AK147">
        <v>20</v>
      </c>
      <c r="AL147">
        <v>20</v>
      </c>
      <c r="AM147">
        <v>4</v>
      </c>
      <c r="AN147">
        <v>3</v>
      </c>
      <c r="AO147">
        <v>46.5</v>
      </c>
      <c r="AP147">
        <v>120</v>
      </c>
      <c r="AQ147">
        <v>26.6</v>
      </c>
      <c r="AS147" s="38" t="b">
        <f t="shared" si="49"/>
        <v>0</v>
      </c>
      <c r="AT147" s="25">
        <f t="shared" si="50"/>
        <v>146</v>
      </c>
      <c r="AU147" s="25">
        <f t="shared" si="51"/>
        <v>146</v>
      </c>
      <c r="AV147" s="25">
        <f t="shared" si="52"/>
        <v>146</v>
      </c>
      <c r="AW147" s="25" t="b">
        <f t="shared" si="53"/>
        <v>0</v>
      </c>
      <c r="BX147" s="9">
        <v>48</v>
      </c>
      <c r="BY147" s="45">
        <f>LOOKUP(BV$54,BZ$5:DJ$5,BZ147:DJ147)</f>
        <v>0</v>
      </c>
      <c r="BZ147" s="45"/>
      <c r="CL147" s="44"/>
      <c r="CX147" s="152" t="str">
        <f>CONCATENATE(BX147,DL106,DM106,DN106)</f>
        <v>48 L IZ+34.25 FMAX</v>
      </c>
    </row>
    <row r="148" spans="32:165" ht="15.75" customHeight="1">
      <c r="AF148" s="4">
        <v>147</v>
      </c>
      <c r="AG148" s="4">
        <v>1</v>
      </c>
      <c r="AH148" s="4">
        <v>1</v>
      </c>
      <c r="AI148" s="4">
        <v>1</v>
      </c>
      <c r="AJ148" t="s">
        <v>2043</v>
      </c>
      <c r="AK148">
        <v>20</v>
      </c>
      <c r="AL148">
        <v>20</v>
      </c>
      <c r="AM148">
        <v>3</v>
      </c>
      <c r="AN148">
        <v>3.5</v>
      </c>
      <c r="AO148">
        <v>78.75</v>
      </c>
      <c r="AP148">
        <v>150</v>
      </c>
      <c r="AQ148">
        <v>29.6</v>
      </c>
      <c r="AS148" s="38" t="b">
        <f t="shared" si="49"/>
        <v>0</v>
      </c>
      <c r="AT148" s="25" t="b">
        <f t="shared" si="50"/>
        <v>0</v>
      </c>
      <c r="AU148" s="25">
        <f t="shared" si="51"/>
        <v>147</v>
      </c>
      <c r="AV148" s="25">
        <f t="shared" si="52"/>
        <v>147</v>
      </c>
      <c r="AW148" s="25" t="b">
        <f t="shared" si="53"/>
        <v>0</v>
      </c>
      <c r="CL148" s="44"/>
      <c r="FH148" s="143">
        <v>26</v>
      </c>
      <c r="FI148" s="151" t="s">
        <v>25</v>
      </c>
    </row>
    <row r="149" spans="32:90" ht="15.75" customHeight="1">
      <c r="AF149" s="4">
        <v>148</v>
      </c>
      <c r="AG149" s="4">
        <v>1</v>
      </c>
      <c r="AH149" s="4">
        <v>1</v>
      </c>
      <c r="AI149" s="4">
        <v>1</v>
      </c>
      <c r="AJ149" t="s">
        <v>2044</v>
      </c>
      <c r="AK149">
        <v>20</v>
      </c>
      <c r="AL149">
        <v>20</v>
      </c>
      <c r="AM149">
        <v>3</v>
      </c>
      <c r="AN149">
        <v>3.5</v>
      </c>
      <c r="AO149">
        <v>64.75</v>
      </c>
      <c r="AP149">
        <v>150</v>
      </c>
      <c r="AQ149">
        <v>29.6</v>
      </c>
      <c r="AS149" s="38" t="b">
        <f t="shared" si="49"/>
        <v>0</v>
      </c>
      <c r="AT149" s="25" t="b">
        <f t="shared" si="50"/>
        <v>0</v>
      </c>
      <c r="AU149" s="25">
        <f t="shared" si="51"/>
        <v>148</v>
      </c>
      <c r="AV149" s="25">
        <f t="shared" si="52"/>
        <v>148</v>
      </c>
      <c r="AW149" s="25" t="b">
        <f t="shared" si="53"/>
        <v>0</v>
      </c>
      <c r="CL149" s="44"/>
    </row>
    <row r="150" spans="32:90" ht="15.75" customHeight="1">
      <c r="AF150" s="4">
        <v>149</v>
      </c>
      <c r="AG150" s="4">
        <v>1</v>
      </c>
      <c r="AH150" s="4">
        <v>1</v>
      </c>
      <c r="AI150" s="4">
        <v>2</v>
      </c>
      <c r="AJ150" t="s">
        <v>2045</v>
      </c>
      <c r="AK150">
        <v>20</v>
      </c>
      <c r="AL150">
        <v>20</v>
      </c>
      <c r="AM150">
        <v>3</v>
      </c>
      <c r="AN150">
        <v>7</v>
      </c>
      <c r="AO150">
        <v>52.61</v>
      </c>
      <c r="AP150">
        <v>120</v>
      </c>
      <c r="AQ150">
        <v>28.175</v>
      </c>
      <c r="AS150" s="38" t="b">
        <f t="shared" si="49"/>
        <v>0</v>
      </c>
      <c r="AT150" s="25" t="b">
        <f t="shared" si="50"/>
        <v>0</v>
      </c>
      <c r="AU150" s="25">
        <f t="shared" si="51"/>
        <v>149</v>
      </c>
      <c r="AV150" s="25" t="b">
        <f t="shared" si="52"/>
        <v>0</v>
      </c>
      <c r="AW150" s="25" t="b">
        <f t="shared" si="53"/>
        <v>0</v>
      </c>
      <c r="CL150" s="44"/>
    </row>
    <row r="151" spans="32:90" ht="15.75" customHeight="1">
      <c r="AF151" s="4">
        <v>150</v>
      </c>
      <c r="AG151" s="4">
        <v>1</v>
      </c>
      <c r="AH151" s="4">
        <v>1</v>
      </c>
      <c r="AI151" s="4">
        <v>1</v>
      </c>
      <c r="AJ151" t="s">
        <v>2046</v>
      </c>
      <c r="AK151">
        <v>20</v>
      </c>
      <c r="AL151">
        <v>20</v>
      </c>
      <c r="AM151">
        <v>3</v>
      </c>
      <c r="AN151">
        <v>3.5</v>
      </c>
      <c r="AO151">
        <v>50.75</v>
      </c>
      <c r="AP151">
        <v>120</v>
      </c>
      <c r="AQ151">
        <v>29.6</v>
      </c>
      <c r="AS151" s="38" t="b">
        <f t="shared" si="49"/>
        <v>0</v>
      </c>
      <c r="AT151" s="25" t="b">
        <f t="shared" si="50"/>
        <v>0</v>
      </c>
      <c r="AU151" s="25">
        <f t="shared" si="51"/>
        <v>150</v>
      </c>
      <c r="AV151" s="25">
        <f t="shared" si="52"/>
        <v>150</v>
      </c>
      <c r="AW151" s="25" t="b">
        <f t="shared" si="53"/>
        <v>0</v>
      </c>
      <c r="CL151" s="44"/>
    </row>
    <row r="152" spans="32:90" ht="15.75" customHeight="1">
      <c r="AF152" s="4">
        <v>151</v>
      </c>
      <c r="AG152" s="4">
        <v>1</v>
      </c>
      <c r="AH152" s="4">
        <v>1</v>
      </c>
      <c r="AI152" s="4">
        <v>1</v>
      </c>
      <c r="AJ152" t="s">
        <v>2047</v>
      </c>
      <c r="AK152">
        <v>18</v>
      </c>
      <c r="AL152">
        <v>18</v>
      </c>
      <c r="AM152">
        <v>3</v>
      </c>
      <c r="AN152">
        <v>3</v>
      </c>
      <c r="AO152">
        <v>64.5</v>
      </c>
      <c r="AP152">
        <v>130</v>
      </c>
      <c r="AQ152">
        <v>23.6</v>
      </c>
      <c r="AS152" s="38">
        <f t="shared" si="49"/>
        <v>151</v>
      </c>
      <c r="AT152" s="25">
        <f t="shared" si="50"/>
        <v>151</v>
      </c>
      <c r="AU152" s="25">
        <f t="shared" si="51"/>
        <v>151</v>
      </c>
      <c r="AV152" s="25">
        <f t="shared" si="52"/>
        <v>151</v>
      </c>
      <c r="AW152" s="25">
        <f t="shared" si="53"/>
        <v>151</v>
      </c>
      <c r="CL152" s="44"/>
    </row>
    <row r="153" spans="32:90" ht="15.75" customHeight="1">
      <c r="AF153" s="4">
        <v>152</v>
      </c>
      <c r="AG153" s="4">
        <v>1</v>
      </c>
      <c r="AH153" s="4">
        <v>1</v>
      </c>
      <c r="AI153" s="4">
        <v>1</v>
      </c>
      <c r="AJ153" t="s">
        <v>2048</v>
      </c>
      <c r="AK153">
        <v>16</v>
      </c>
      <c r="AL153">
        <v>16</v>
      </c>
      <c r="AM153">
        <v>6</v>
      </c>
      <c r="AN153">
        <v>1.5</v>
      </c>
      <c r="AO153">
        <v>35.25</v>
      </c>
      <c r="AP153">
        <v>100</v>
      </c>
      <c r="AQ153">
        <v>19.6</v>
      </c>
      <c r="AS153" s="38">
        <f t="shared" si="49"/>
        <v>152</v>
      </c>
      <c r="AT153" s="25" t="b">
        <f t="shared" si="50"/>
        <v>0</v>
      </c>
      <c r="AU153" s="25" t="b">
        <f t="shared" si="51"/>
        <v>0</v>
      </c>
      <c r="AV153" s="25">
        <f t="shared" si="52"/>
        <v>152</v>
      </c>
      <c r="AW153" s="25" t="b">
        <f t="shared" si="53"/>
        <v>0</v>
      </c>
      <c r="CL153" s="44"/>
    </row>
    <row r="154" spans="32:90" ht="15.75" customHeight="1">
      <c r="AF154" s="4">
        <v>153</v>
      </c>
      <c r="AG154" s="4">
        <v>1</v>
      </c>
      <c r="AH154" s="4">
        <v>1</v>
      </c>
      <c r="AI154" s="4">
        <v>2</v>
      </c>
      <c r="AJ154" t="s">
        <v>2049</v>
      </c>
      <c r="AK154">
        <v>16</v>
      </c>
      <c r="AL154">
        <v>16</v>
      </c>
      <c r="AM154">
        <v>5</v>
      </c>
      <c r="AN154">
        <v>14</v>
      </c>
      <c r="AO154">
        <v>46.26</v>
      </c>
      <c r="AP154">
        <v>120</v>
      </c>
      <c r="AQ154">
        <v>21.825</v>
      </c>
      <c r="AS154" s="38">
        <f t="shared" si="49"/>
        <v>153</v>
      </c>
      <c r="AT154" s="25" t="b">
        <f t="shared" si="50"/>
        <v>0</v>
      </c>
      <c r="AU154" s="25">
        <f t="shared" si="51"/>
        <v>153</v>
      </c>
      <c r="AV154" s="25" t="b">
        <f t="shared" si="52"/>
        <v>0</v>
      </c>
      <c r="AW154" s="25" t="b">
        <f t="shared" si="53"/>
        <v>0</v>
      </c>
      <c r="CL154" s="44"/>
    </row>
    <row r="155" spans="32:90" ht="15.75" customHeight="1">
      <c r="AF155" s="4">
        <v>154</v>
      </c>
      <c r="AG155" s="4">
        <v>1</v>
      </c>
      <c r="AH155" s="4">
        <v>1</v>
      </c>
      <c r="AI155" s="4">
        <v>2</v>
      </c>
      <c r="AJ155" t="s">
        <v>2050</v>
      </c>
      <c r="AK155">
        <v>16</v>
      </c>
      <c r="AL155">
        <v>16</v>
      </c>
      <c r="AM155">
        <v>5</v>
      </c>
      <c r="AN155">
        <v>12</v>
      </c>
      <c r="AO155">
        <v>43.39</v>
      </c>
      <c r="AP155">
        <v>100</v>
      </c>
      <c r="AQ155">
        <v>25</v>
      </c>
      <c r="AS155" s="38" t="b">
        <f t="shared" si="49"/>
        <v>0</v>
      </c>
      <c r="AT155" s="25" t="b">
        <f t="shared" si="50"/>
        <v>0</v>
      </c>
      <c r="AU155" s="25">
        <f t="shared" si="51"/>
        <v>154</v>
      </c>
      <c r="AV155" s="25" t="b">
        <f t="shared" si="52"/>
        <v>0</v>
      </c>
      <c r="AW155" s="25" t="b">
        <f t="shared" si="53"/>
        <v>0</v>
      </c>
      <c r="CL155" s="44"/>
    </row>
    <row r="156" spans="32:90" ht="15.75" customHeight="1">
      <c r="AF156" s="4">
        <v>155</v>
      </c>
      <c r="AG156" s="4">
        <v>1</v>
      </c>
      <c r="AH156" s="4">
        <v>1</v>
      </c>
      <c r="AI156" s="4">
        <v>1</v>
      </c>
      <c r="AJ156" t="s">
        <v>2051</v>
      </c>
      <c r="AK156">
        <v>16</v>
      </c>
      <c r="AL156">
        <v>16</v>
      </c>
      <c r="AM156">
        <v>5</v>
      </c>
      <c r="AN156">
        <v>2</v>
      </c>
      <c r="AO156">
        <v>39</v>
      </c>
      <c r="AP156">
        <v>100</v>
      </c>
      <c r="AQ156">
        <v>19.6</v>
      </c>
      <c r="AS156" s="38">
        <f t="shared" si="49"/>
        <v>155</v>
      </c>
      <c r="AT156" s="25" t="b">
        <f t="shared" si="50"/>
        <v>0</v>
      </c>
      <c r="AU156" s="25">
        <f t="shared" si="51"/>
        <v>155</v>
      </c>
      <c r="AV156" s="25">
        <f t="shared" si="52"/>
        <v>155</v>
      </c>
      <c r="AW156" s="25" t="b">
        <f t="shared" si="53"/>
        <v>0</v>
      </c>
      <c r="CL156" s="44"/>
    </row>
    <row r="157" spans="32:90" ht="15.75" customHeight="1">
      <c r="AF157" s="4">
        <v>156</v>
      </c>
      <c r="AG157" s="4">
        <v>1</v>
      </c>
      <c r="AH157" s="4">
        <v>1</v>
      </c>
      <c r="AI157" s="4">
        <v>2</v>
      </c>
      <c r="AJ157" t="s">
        <v>2052</v>
      </c>
      <c r="AK157">
        <v>16</v>
      </c>
      <c r="AL157">
        <v>16</v>
      </c>
      <c r="AM157">
        <v>5</v>
      </c>
      <c r="AN157">
        <v>16</v>
      </c>
      <c r="AO157">
        <v>35.72</v>
      </c>
      <c r="AP157">
        <v>100</v>
      </c>
      <c r="AQ157">
        <v>19</v>
      </c>
      <c r="AS157" s="38">
        <f t="shared" si="49"/>
        <v>156</v>
      </c>
      <c r="AT157" s="25" t="b">
        <f t="shared" si="50"/>
        <v>0</v>
      </c>
      <c r="AU157" s="25" t="b">
        <f t="shared" si="51"/>
        <v>0</v>
      </c>
      <c r="AV157" s="25" t="b">
        <f t="shared" si="52"/>
        <v>0</v>
      </c>
      <c r="AW157" s="25" t="b">
        <f t="shared" si="53"/>
        <v>0</v>
      </c>
      <c r="CL157" s="44"/>
    </row>
    <row r="158" spans="32:90" ht="15.75" customHeight="1">
      <c r="AF158" s="4">
        <v>157</v>
      </c>
      <c r="AG158" s="4">
        <v>1</v>
      </c>
      <c r="AH158" s="4">
        <v>1</v>
      </c>
      <c r="AI158" s="4">
        <v>2</v>
      </c>
      <c r="AJ158" t="s">
        <v>2053</v>
      </c>
      <c r="AK158">
        <v>16</v>
      </c>
      <c r="AL158">
        <v>16</v>
      </c>
      <c r="AM158">
        <v>5</v>
      </c>
      <c r="AN158">
        <v>14</v>
      </c>
      <c r="AO158">
        <v>35.38</v>
      </c>
      <c r="AP158">
        <v>100</v>
      </c>
      <c r="AQ158">
        <v>21.825</v>
      </c>
      <c r="AS158" s="38">
        <f t="shared" si="49"/>
        <v>157</v>
      </c>
      <c r="AT158" s="25" t="b">
        <f t="shared" si="50"/>
        <v>0</v>
      </c>
      <c r="AU158" s="25" t="b">
        <f t="shared" si="51"/>
        <v>0</v>
      </c>
      <c r="AV158" s="25" t="b">
        <f t="shared" si="52"/>
        <v>0</v>
      </c>
      <c r="AW158" s="25" t="b">
        <f t="shared" si="53"/>
        <v>0</v>
      </c>
      <c r="CL158" s="44"/>
    </row>
    <row r="159" spans="32:90" ht="15.75" customHeight="1">
      <c r="AF159" s="4">
        <v>158</v>
      </c>
      <c r="AG159" s="4">
        <v>1</v>
      </c>
      <c r="AH159" s="4">
        <v>1</v>
      </c>
      <c r="AI159" s="4">
        <v>2</v>
      </c>
      <c r="AJ159" t="s">
        <v>2054</v>
      </c>
      <c r="AK159">
        <v>16</v>
      </c>
      <c r="AL159">
        <v>16</v>
      </c>
      <c r="AM159">
        <v>3</v>
      </c>
      <c r="AN159">
        <v>8</v>
      </c>
      <c r="AO159">
        <v>55.56</v>
      </c>
      <c r="AP159">
        <v>120</v>
      </c>
      <c r="AQ159">
        <v>25</v>
      </c>
      <c r="AS159" s="38" t="b">
        <f t="shared" si="49"/>
        <v>0</v>
      </c>
      <c r="AT159" s="25" t="b">
        <f t="shared" si="50"/>
        <v>0</v>
      </c>
      <c r="AU159" s="25">
        <f t="shared" si="51"/>
        <v>158</v>
      </c>
      <c r="AV159" s="25" t="b">
        <f t="shared" si="52"/>
        <v>0</v>
      </c>
      <c r="AW159" s="25" t="b">
        <f t="shared" si="53"/>
        <v>0</v>
      </c>
      <c r="CL159" s="44"/>
    </row>
    <row r="160" spans="32:90" ht="15.75" customHeight="1">
      <c r="AF160" s="4">
        <v>159</v>
      </c>
      <c r="AG160" s="4">
        <v>1</v>
      </c>
      <c r="AH160" s="4">
        <v>1</v>
      </c>
      <c r="AI160" s="4">
        <v>1</v>
      </c>
      <c r="AJ160" t="s">
        <v>2055</v>
      </c>
      <c r="AK160">
        <v>16</v>
      </c>
      <c r="AL160">
        <v>16</v>
      </c>
      <c r="AM160">
        <v>3</v>
      </c>
      <c r="AN160">
        <v>3</v>
      </c>
      <c r="AO160">
        <v>52.5</v>
      </c>
      <c r="AP160">
        <v>120</v>
      </c>
      <c r="AQ160">
        <v>23.6</v>
      </c>
      <c r="AS160" s="38">
        <f t="shared" si="49"/>
        <v>159</v>
      </c>
      <c r="AT160" s="25">
        <f t="shared" si="50"/>
        <v>159</v>
      </c>
      <c r="AU160" s="25">
        <f t="shared" si="51"/>
        <v>159</v>
      </c>
      <c r="AV160" s="25">
        <f t="shared" si="52"/>
        <v>159</v>
      </c>
      <c r="AW160" s="25">
        <f t="shared" si="53"/>
        <v>159</v>
      </c>
      <c r="CL160" s="44"/>
    </row>
    <row r="161" spans="32:90" ht="15.75" customHeight="1">
      <c r="AF161" s="4">
        <v>160</v>
      </c>
      <c r="AG161" s="4">
        <v>1</v>
      </c>
      <c r="AH161" s="4">
        <v>1</v>
      </c>
      <c r="AI161" s="4">
        <v>2</v>
      </c>
      <c r="AJ161" t="s">
        <v>2056</v>
      </c>
      <c r="AK161">
        <v>16</v>
      </c>
      <c r="AL161">
        <v>16</v>
      </c>
      <c r="AM161">
        <v>3</v>
      </c>
      <c r="AN161">
        <v>9</v>
      </c>
      <c r="AO161">
        <v>49.39</v>
      </c>
      <c r="AP161">
        <v>120</v>
      </c>
      <c r="AQ161">
        <v>21.825</v>
      </c>
      <c r="AS161" s="38">
        <f t="shared" si="49"/>
        <v>160</v>
      </c>
      <c r="AT161" s="25" t="b">
        <f t="shared" si="50"/>
        <v>0</v>
      </c>
      <c r="AU161" s="25">
        <f t="shared" si="51"/>
        <v>160</v>
      </c>
      <c r="AV161" s="25" t="b">
        <f t="shared" si="52"/>
        <v>0</v>
      </c>
      <c r="AW161" s="25" t="b">
        <f t="shared" si="53"/>
        <v>0</v>
      </c>
      <c r="CL161" s="44"/>
    </row>
    <row r="162" spans="32:90" ht="15.75" customHeight="1">
      <c r="AF162" s="4">
        <v>161</v>
      </c>
      <c r="AG162" s="4">
        <v>1</v>
      </c>
      <c r="AH162" s="4">
        <v>1</v>
      </c>
      <c r="AI162" s="4">
        <v>2</v>
      </c>
      <c r="AJ162" t="s">
        <v>2057</v>
      </c>
      <c r="AK162">
        <v>16</v>
      </c>
      <c r="AL162">
        <v>16</v>
      </c>
      <c r="AM162">
        <v>3</v>
      </c>
      <c r="AN162">
        <v>8</v>
      </c>
      <c r="AO162">
        <v>42.86</v>
      </c>
      <c r="AP162">
        <v>100</v>
      </c>
      <c r="AQ162">
        <v>25</v>
      </c>
      <c r="AS162" s="38" t="b">
        <f aca="true" t="shared" si="54" ref="AS162:AS198">IF(C$14&gt;=AQ162,AF162)</f>
        <v>0</v>
      </c>
      <c r="AT162" s="25" t="b">
        <f aca="true" t="shared" si="55" ref="AT162:AT198">IF(C$15=AN162,AF162)</f>
        <v>0</v>
      </c>
      <c r="AU162" s="25">
        <f aca="true" t="shared" si="56" ref="AU162:AU198">IF(C$16&lt;=AO162,AF162)</f>
        <v>161</v>
      </c>
      <c r="AV162" s="25" t="b">
        <f t="shared" si="52"/>
        <v>0</v>
      </c>
      <c r="AW162" s="25" t="b">
        <f t="shared" si="53"/>
        <v>0</v>
      </c>
      <c r="CL162" s="44"/>
    </row>
    <row r="163" spans="32:90" ht="15.75" customHeight="1">
      <c r="AF163" s="4">
        <v>162</v>
      </c>
      <c r="AG163" s="4">
        <v>1</v>
      </c>
      <c r="AH163" s="4">
        <v>1</v>
      </c>
      <c r="AI163" s="4">
        <v>1</v>
      </c>
      <c r="AJ163" t="s">
        <v>2058</v>
      </c>
      <c r="AK163">
        <v>16</v>
      </c>
      <c r="AL163">
        <v>16</v>
      </c>
      <c r="AM163">
        <v>3</v>
      </c>
      <c r="AN163">
        <v>3</v>
      </c>
      <c r="AO163">
        <v>40.5</v>
      </c>
      <c r="AP163">
        <v>100</v>
      </c>
      <c r="AQ163">
        <v>23.6</v>
      </c>
      <c r="AS163" s="38">
        <f t="shared" si="54"/>
        <v>162</v>
      </c>
      <c r="AT163" s="25">
        <f t="shared" si="55"/>
        <v>162</v>
      </c>
      <c r="AU163" s="25">
        <f t="shared" si="56"/>
        <v>162</v>
      </c>
      <c r="AV163" s="25">
        <f t="shared" si="52"/>
        <v>162</v>
      </c>
      <c r="AW163" s="25">
        <f t="shared" si="53"/>
        <v>162</v>
      </c>
      <c r="CL163" s="44"/>
    </row>
    <row r="164" spans="32:90" ht="15.75" customHeight="1">
      <c r="AF164" s="4">
        <v>163</v>
      </c>
      <c r="AG164" s="4">
        <v>1</v>
      </c>
      <c r="AH164" s="4">
        <v>1</v>
      </c>
      <c r="AI164" s="4">
        <v>2</v>
      </c>
      <c r="AJ164" t="s">
        <v>2059</v>
      </c>
      <c r="AK164">
        <v>16</v>
      </c>
      <c r="AL164">
        <v>16</v>
      </c>
      <c r="AM164">
        <v>3</v>
      </c>
      <c r="AN164">
        <v>9</v>
      </c>
      <c r="AO164">
        <v>38.1</v>
      </c>
      <c r="AP164">
        <v>100</v>
      </c>
      <c r="AQ164">
        <v>21.825</v>
      </c>
      <c r="AS164" s="38">
        <f t="shared" si="54"/>
        <v>163</v>
      </c>
      <c r="AT164" s="25" t="b">
        <f t="shared" si="55"/>
        <v>0</v>
      </c>
      <c r="AU164" s="25">
        <f t="shared" si="56"/>
        <v>163</v>
      </c>
      <c r="AV164" s="25" t="b">
        <f t="shared" si="52"/>
        <v>0</v>
      </c>
      <c r="AW164" s="25" t="b">
        <f t="shared" si="53"/>
        <v>0</v>
      </c>
      <c r="CL164" s="44"/>
    </row>
    <row r="165" spans="32:90" ht="15.75" customHeight="1">
      <c r="AF165" s="4">
        <v>164</v>
      </c>
      <c r="AG165" s="4">
        <v>1</v>
      </c>
      <c r="AH165" s="4">
        <v>1</v>
      </c>
      <c r="AI165" s="4">
        <v>1</v>
      </c>
      <c r="AJ165" t="s">
        <v>2060</v>
      </c>
      <c r="AK165">
        <v>16</v>
      </c>
      <c r="AL165">
        <v>15</v>
      </c>
      <c r="AM165">
        <v>4</v>
      </c>
      <c r="AN165">
        <v>2.5</v>
      </c>
      <c r="AO165">
        <v>53.75</v>
      </c>
      <c r="AP165">
        <v>120</v>
      </c>
      <c r="AQ165">
        <v>19.6</v>
      </c>
      <c r="AS165" s="38">
        <f t="shared" si="54"/>
        <v>164</v>
      </c>
      <c r="AT165" s="25" t="b">
        <f t="shared" si="55"/>
        <v>0</v>
      </c>
      <c r="AU165" s="25">
        <f t="shared" si="56"/>
        <v>164</v>
      </c>
      <c r="AV165" s="25">
        <f t="shared" si="52"/>
        <v>164</v>
      </c>
      <c r="AW165" s="25" t="b">
        <f t="shared" si="53"/>
        <v>0</v>
      </c>
      <c r="CL165" s="44"/>
    </row>
    <row r="166" spans="32:90" ht="15.75" customHeight="1">
      <c r="AF166" s="4">
        <v>165</v>
      </c>
      <c r="AG166" s="4">
        <v>1</v>
      </c>
      <c r="AH166" s="4">
        <v>1</v>
      </c>
      <c r="AI166" s="4">
        <v>1</v>
      </c>
      <c r="AJ166" t="s">
        <v>2061</v>
      </c>
      <c r="AK166">
        <v>16</v>
      </c>
      <c r="AL166">
        <v>15</v>
      </c>
      <c r="AM166">
        <v>3</v>
      </c>
      <c r="AN166">
        <v>2.5</v>
      </c>
      <c r="AO166">
        <v>63.75</v>
      </c>
      <c r="AP166">
        <v>120</v>
      </c>
      <c r="AQ166">
        <v>19.6</v>
      </c>
      <c r="AS166" s="38">
        <f t="shared" si="54"/>
        <v>165</v>
      </c>
      <c r="AT166" s="25" t="b">
        <f t="shared" si="55"/>
        <v>0</v>
      </c>
      <c r="AU166" s="25">
        <f t="shared" si="56"/>
        <v>165</v>
      </c>
      <c r="AV166" s="25">
        <f t="shared" si="52"/>
        <v>165</v>
      </c>
      <c r="AW166" s="25" t="b">
        <f t="shared" si="53"/>
        <v>0</v>
      </c>
      <c r="CL166" s="44"/>
    </row>
    <row r="167" spans="32:90" ht="15.75" customHeight="1">
      <c r="AF167" s="4">
        <v>166</v>
      </c>
      <c r="AG167" s="4">
        <v>1</v>
      </c>
      <c r="AH167" s="4">
        <v>1</v>
      </c>
      <c r="AI167" s="4">
        <v>1</v>
      </c>
      <c r="AJ167" t="s">
        <v>2062</v>
      </c>
      <c r="AK167">
        <v>14</v>
      </c>
      <c r="AL167">
        <v>14</v>
      </c>
      <c r="AM167">
        <v>4</v>
      </c>
      <c r="AN167">
        <v>2.5</v>
      </c>
      <c r="AO167">
        <v>43.75</v>
      </c>
      <c r="AP167">
        <v>100</v>
      </c>
      <c r="AQ167">
        <v>19.6</v>
      </c>
      <c r="AS167" s="38">
        <f t="shared" si="54"/>
        <v>166</v>
      </c>
      <c r="AT167" s="25" t="b">
        <f t="shared" si="55"/>
        <v>0</v>
      </c>
      <c r="AU167" s="25">
        <f t="shared" si="56"/>
        <v>166</v>
      </c>
      <c r="AV167" s="25">
        <f t="shared" si="52"/>
        <v>166</v>
      </c>
      <c r="AW167" s="25" t="b">
        <f t="shared" si="53"/>
        <v>0</v>
      </c>
      <c r="CL167" s="44"/>
    </row>
    <row r="168" spans="32:90" ht="15.75" customHeight="1">
      <c r="AF168" s="4">
        <v>167</v>
      </c>
      <c r="AG168" s="4">
        <v>1</v>
      </c>
      <c r="AH168" s="4">
        <v>1</v>
      </c>
      <c r="AI168" s="4">
        <v>1</v>
      </c>
      <c r="AJ168" t="s">
        <v>2063</v>
      </c>
      <c r="AK168">
        <v>14</v>
      </c>
      <c r="AL168">
        <v>14</v>
      </c>
      <c r="AM168">
        <v>4</v>
      </c>
      <c r="AN168">
        <v>2.5</v>
      </c>
      <c r="AO168">
        <v>33.75</v>
      </c>
      <c r="AP168">
        <v>89</v>
      </c>
      <c r="AQ168">
        <v>19.6</v>
      </c>
      <c r="AS168" s="38">
        <f t="shared" si="54"/>
        <v>167</v>
      </c>
      <c r="AT168" s="25" t="b">
        <f t="shared" si="55"/>
        <v>0</v>
      </c>
      <c r="AU168" s="25" t="b">
        <f t="shared" si="56"/>
        <v>0</v>
      </c>
      <c r="AV168" s="25">
        <f t="shared" si="52"/>
        <v>167</v>
      </c>
      <c r="AW168" s="25" t="b">
        <f t="shared" si="53"/>
        <v>0</v>
      </c>
      <c r="CL168" s="44"/>
    </row>
    <row r="169" spans="32:90" ht="15.75" customHeight="1">
      <c r="AF169" s="4">
        <v>168</v>
      </c>
      <c r="AG169" s="4">
        <v>1</v>
      </c>
      <c r="AH169" s="4">
        <v>1</v>
      </c>
      <c r="AI169" s="4">
        <v>1</v>
      </c>
      <c r="AJ169" t="s">
        <v>2064</v>
      </c>
      <c r="AK169">
        <v>12</v>
      </c>
      <c r="AL169">
        <v>12</v>
      </c>
      <c r="AM169">
        <v>6</v>
      </c>
      <c r="AN169">
        <v>1</v>
      </c>
      <c r="AO169">
        <v>21.5</v>
      </c>
      <c r="AP169">
        <v>83</v>
      </c>
      <c r="AQ169">
        <v>13.6</v>
      </c>
      <c r="AS169" s="38">
        <f t="shared" si="54"/>
        <v>168</v>
      </c>
      <c r="AT169" s="25" t="b">
        <f t="shared" si="55"/>
        <v>0</v>
      </c>
      <c r="AU169" s="25" t="b">
        <f t="shared" si="56"/>
        <v>0</v>
      </c>
      <c r="AV169" s="25">
        <f t="shared" si="52"/>
        <v>168</v>
      </c>
      <c r="AW169" s="25" t="b">
        <f t="shared" si="53"/>
        <v>0</v>
      </c>
      <c r="CL169" s="44"/>
    </row>
    <row r="170" spans="32:165" ht="15.75" customHeight="1">
      <c r="AF170" s="4">
        <v>169</v>
      </c>
      <c r="AG170" s="4">
        <v>1</v>
      </c>
      <c r="AH170" s="4">
        <v>1</v>
      </c>
      <c r="AI170" s="4">
        <v>2</v>
      </c>
      <c r="AJ170" t="s">
        <v>2065</v>
      </c>
      <c r="AK170">
        <v>12</v>
      </c>
      <c r="AL170">
        <v>12</v>
      </c>
      <c r="AM170">
        <v>5</v>
      </c>
      <c r="AN170">
        <v>20</v>
      </c>
      <c r="AO170">
        <v>28.57</v>
      </c>
      <c r="AP170">
        <v>83</v>
      </c>
      <c r="AQ170">
        <v>14.4</v>
      </c>
      <c r="AS170" s="38">
        <f t="shared" si="54"/>
        <v>169</v>
      </c>
      <c r="AT170" s="25" t="b">
        <f t="shared" si="55"/>
        <v>0</v>
      </c>
      <c r="AU170" s="25" t="b">
        <f t="shared" si="56"/>
        <v>0</v>
      </c>
      <c r="AV170" s="25" t="b">
        <f t="shared" si="52"/>
        <v>0</v>
      </c>
      <c r="AW170" s="25" t="b">
        <f t="shared" si="53"/>
        <v>0</v>
      </c>
      <c r="CL170" s="44"/>
      <c r="FI170" s="41" t="s">
        <v>27</v>
      </c>
    </row>
    <row r="171" spans="32:90" ht="15.75" customHeight="1">
      <c r="AF171" s="4">
        <v>170</v>
      </c>
      <c r="AG171" s="4">
        <v>1</v>
      </c>
      <c r="AH171" s="4">
        <v>1</v>
      </c>
      <c r="AI171" s="4">
        <v>1</v>
      </c>
      <c r="AJ171" t="s">
        <v>2066</v>
      </c>
      <c r="AK171">
        <v>12</v>
      </c>
      <c r="AL171">
        <v>12</v>
      </c>
      <c r="AM171">
        <v>4</v>
      </c>
      <c r="AN171">
        <v>2</v>
      </c>
      <c r="AO171">
        <v>43</v>
      </c>
      <c r="AP171">
        <v>100</v>
      </c>
      <c r="AQ171">
        <v>15.6</v>
      </c>
      <c r="AS171" s="38">
        <f t="shared" si="54"/>
        <v>170</v>
      </c>
      <c r="AT171" s="25" t="b">
        <f t="shared" si="55"/>
        <v>0</v>
      </c>
      <c r="AU171" s="25">
        <f t="shared" si="56"/>
        <v>170</v>
      </c>
      <c r="AV171" s="25">
        <f t="shared" si="52"/>
        <v>170</v>
      </c>
      <c r="AW171" s="25" t="b">
        <f t="shared" si="53"/>
        <v>0</v>
      </c>
      <c r="CL171" s="44"/>
    </row>
    <row r="172" spans="32:90" ht="15.75" customHeight="1">
      <c r="AF172" s="4">
        <v>171</v>
      </c>
      <c r="AG172" s="4">
        <v>1</v>
      </c>
      <c r="AH172" s="4">
        <v>1</v>
      </c>
      <c r="AI172" s="4">
        <v>2</v>
      </c>
      <c r="AJ172" t="s">
        <v>2067</v>
      </c>
      <c r="AK172">
        <v>12</v>
      </c>
      <c r="AL172">
        <v>12</v>
      </c>
      <c r="AM172">
        <v>4</v>
      </c>
      <c r="AN172">
        <v>16</v>
      </c>
      <c r="AO172">
        <v>40.48</v>
      </c>
      <c r="AP172">
        <v>100</v>
      </c>
      <c r="AQ172">
        <v>18.65</v>
      </c>
      <c r="AS172" s="38">
        <f t="shared" si="54"/>
        <v>171</v>
      </c>
      <c r="AT172" s="25" t="b">
        <f t="shared" si="55"/>
        <v>0</v>
      </c>
      <c r="AU172" s="25">
        <f t="shared" si="56"/>
        <v>171</v>
      </c>
      <c r="AV172" s="25" t="b">
        <f t="shared" si="52"/>
        <v>0</v>
      </c>
      <c r="AW172" s="25" t="b">
        <f t="shared" si="53"/>
        <v>0</v>
      </c>
      <c r="CL172" s="44"/>
    </row>
    <row r="173" spans="32:90" ht="15.75" customHeight="1">
      <c r="AF173" s="4">
        <v>172</v>
      </c>
      <c r="AG173" s="4">
        <v>1</v>
      </c>
      <c r="AH173" s="4">
        <v>1</v>
      </c>
      <c r="AI173" s="4">
        <v>1</v>
      </c>
      <c r="AJ173" t="s">
        <v>2068</v>
      </c>
      <c r="AK173">
        <v>12</v>
      </c>
      <c r="AL173">
        <v>12</v>
      </c>
      <c r="AM173">
        <v>4</v>
      </c>
      <c r="AN173">
        <v>2</v>
      </c>
      <c r="AO173">
        <v>35</v>
      </c>
      <c r="AP173">
        <v>100</v>
      </c>
      <c r="AQ173">
        <v>15.6</v>
      </c>
      <c r="AS173" s="38">
        <f t="shared" si="54"/>
        <v>172</v>
      </c>
      <c r="AT173" s="25" t="b">
        <f t="shared" si="55"/>
        <v>0</v>
      </c>
      <c r="AU173" s="25" t="b">
        <f t="shared" si="56"/>
        <v>0</v>
      </c>
      <c r="AV173" s="25">
        <f t="shared" si="52"/>
        <v>172</v>
      </c>
      <c r="AW173" s="25" t="b">
        <f t="shared" si="53"/>
        <v>0</v>
      </c>
      <c r="CL173" s="44"/>
    </row>
    <row r="174" spans="32:90" ht="15.75" customHeight="1">
      <c r="AF174" s="4">
        <v>173</v>
      </c>
      <c r="AG174" s="4">
        <v>1</v>
      </c>
      <c r="AH174" s="4">
        <v>1</v>
      </c>
      <c r="AI174" s="4">
        <v>2</v>
      </c>
      <c r="AJ174" t="s">
        <v>2069</v>
      </c>
      <c r="AK174">
        <v>12</v>
      </c>
      <c r="AL174">
        <v>12</v>
      </c>
      <c r="AM174">
        <v>4</v>
      </c>
      <c r="AN174">
        <v>18</v>
      </c>
      <c r="AO174">
        <v>33.16</v>
      </c>
      <c r="AP174">
        <v>100</v>
      </c>
      <c r="AQ174">
        <v>15.475</v>
      </c>
      <c r="AS174" s="38">
        <f t="shared" si="54"/>
        <v>173</v>
      </c>
      <c r="AT174" s="25" t="b">
        <f t="shared" si="55"/>
        <v>0</v>
      </c>
      <c r="AU174" s="25" t="b">
        <f t="shared" si="56"/>
        <v>0</v>
      </c>
      <c r="AV174" s="25" t="b">
        <f t="shared" si="52"/>
        <v>0</v>
      </c>
      <c r="AW174" s="25" t="b">
        <f t="shared" si="53"/>
        <v>0</v>
      </c>
      <c r="CL174" s="44"/>
    </row>
    <row r="175" spans="32:165" ht="15.75" customHeight="1">
      <c r="AF175" s="4">
        <v>174</v>
      </c>
      <c r="AG175" s="4">
        <v>1</v>
      </c>
      <c r="AH175" s="4">
        <v>1</v>
      </c>
      <c r="AI175" s="4">
        <v>2</v>
      </c>
      <c r="AJ175" t="s">
        <v>2070</v>
      </c>
      <c r="AK175">
        <v>12</v>
      </c>
      <c r="AL175">
        <v>12</v>
      </c>
      <c r="AM175">
        <v>4</v>
      </c>
      <c r="AN175">
        <v>16</v>
      </c>
      <c r="AO175">
        <v>30.96</v>
      </c>
      <c r="AP175">
        <v>100</v>
      </c>
      <c r="AQ175">
        <v>18.65</v>
      </c>
      <c r="AS175" s="38">
        <f t="shared" si="54"/>
        <v>174</v>
      </c>
      <c r="AT175" s="25" t="b">
        <f t="shared" si="55"/>
        <v>0</v>
      </c>
      <c r="AU175" s="25" t="b">
        <f t="shared" si="56"/>
        <v>0</v>
      </c>
      <c r="AV175" s="25" t="b">
        <f t="shared" si="52"/>
        <v>0</v>
      </c>
      <c r="AW175" s="25" t="b">
        <f t="shared" si="53"/>
        <v>0</v>
      </c>
      <c r="CL175" s="44"/>
      <c r="FH175" s="143">
        <v>35</v>
      </c>
      <c r="FI175" s="146" t="s">
        <v>26</v>
      </c>
    </row>
    <row r="176" spans="32:90" ht="15.75" customHeight="1">
      <c r="AF176" s="4">
        <v>175</v>
      </c>
      <c r="AG176" s="4">
        <v>1</v>
      </c>
      <c r="AH176" s="4">
        <v>1</v>
      </c>
      <c r="AI176" s="4">
        <v>1</v>
      </c>
      <c r="AJ176" t="s">
        <v>2071</v>
      </c>
      <c r="AK176">
        <v>12</v>
      </c>
      <c r="AL176">
        <v>12</v>
      </c>
      <c r="AM176">
        <v>4</v>
      </c>
      <c r="AN176">
        <v>1.5</v>
      </c>
      <c r="AO176">
        <v>29.25</v>
      </c>
      <c r="AP176">
        <v>83</v>
      </c>
      <c r="AQ176">
        <v>15.6</v>
      </c>
      <c r="AS176" s="38">
        <f t="shared" si="54"/>
        <v>175</v>
      </c>
      <c r="AT176" s="25" t="b">
        <f t="shared" si="55"/>
        <v>0</v>
      </c>
      <c r="AU176" s="25" t="b">
        <f t="shared" si="56"/>
        <v>0</v>
      </c>
      <c r="AV176" s="25">
        <f t="shared" si="52"/>
        <v>175</v>
      </c>
      <c r="AW176" s="25" t="b">
        <f t="shared" si="53"/>
        <v>0</v>
      </c>
      <c r="CL176" s="44"/>
    </row>
    <row r="177" spans="32:90" ht="15.75" customHeight="1">
      <c r="AF177" s="4">
        <v>176</v>
      </c>
      <c r="AG177" s="4">
        <v>1</v>
      </c>
      <c r="AH177" s="4">
        <v>1</v>
      </c>
      <c r="AI177" s="4">
        <v>1</v>
      </c>
      <c r="AJ177" t="s">
        <v>2072</v>
      </c>
      <c r="AK177">
        <v>12</v>
      </c>
      <c r="AL177">
        <v>12</v>
      </c>
      <c r="AM177">
        <v>4</v>
      </c>
      <c r="AN177">
        <v>2</v>
      </c>
      <c r="AO177">
        <v>27</v>
      </c>
      <c r="AP177">
        <v>83</v>
      </c>
      <c r="AQ177">
        <v>15.6</v>
      </c>
      <c r="AS177" s="38">
        <f t="shared" si="54"/>
        <v>176</v>
      </c>
      <c r="AT177" s="25" t="b">
        <f t="shared" si="55"/>
        <v>0</v>
      </c>
      <c r="AU177" s="25" t="b">
        <f t="shared" si="56"/>
        <v>0</v>
      </c>
      <c r="AV177" s="25">
        <f t="shared" si="52"/>
        <v>176</v>
      </c>
      <c r="AW177" s="25" t="b">
        <f t="shared" si="53"/>
        <v>0</v>
      </c>
      <c r="CL177" s="44"/>
    </row>
    <row r="178" spans="32:90" ht="15.75" customHeight="1">
      <c r="AF178" s="4">
        <v>177</v>
      </c>
      <c r="AG178" s="4">
        <v>1</v>
      </c>
      <c r="AH178" s="4">
        <v>1</v>
      </c>
      <c r="AI178" s="4">
        <v>2</v>
      </c>
      <c r="AJ178" t="s">
        <v>2073</v>
      </c>
      <c r="AK178">
        <v>12</v>
      </c>
      <c r="AL178">
        <v>12</v>
      </c>
      <c r="AM178">
        <v>4</v>
      </c>
      <c r="AN178">
        <v>18</v>
      </c>
      <c r="AO178">
        <v>26.11</v>
      </c>
      <c r="AP178">
        <v>83</v>
      </c>
      <c r="AQ178">
        <v>15.475</v>
      </c>
      <c r="AS178" s="38">
        <f t="shared" si="54"/>
        <v>177</v>
      </c>
      <c r="AT178" s="25" t="b">
        <f t="shared" si="55"/>
        <v>0</v>
      </c>
      <c r="AU178" s="25" t="b">
        <f t="shared" si="56"/>
        <v>0</v>
      </c>
      <c r="AV178" s="25" t="b">
        <f t="shared" si="52"/>
        <v>0</v>
      </c>
      <c r="AW178" s="25" t="b">
        <f t="shared" si="53"/>
        <v>0</v>
      </c>
      <c r="CL178" s="44"/>
    </row>
    <row r="179" spans="32:90" ht="15.75" customHeight="1">
      <c r="AF179" s="4">
        <v>178</v>
      </c>
      <c r="AG179" s="4">
        <v>1</v>
      </c>
      <c r="AH179" s="4">
        <v>1</v>
      </c>
      <c r="AI179" s="4">
        <v>1</v>
      </c>
      <c r="AJ179" t="s">
        <v>2074</v>
      </c>
      <c r="AK179">
        <v>12</v>
      </c>
      <c r="AL179">
        <v>12</v>
      </c>
      <c r="AM179">
        <v>3</v>
      </c>
      <c r="AN179">
        <v>2</v>
      </c>
      <c r="AO179">
        <v>51</v>
      </c>
      <c r="AP179">
        <v>100</v>
      </c>
      <c r="AQ179">
        <v>15.6</v>
      </c>
      <c r="AS179" s="38">
        <f t="shared" si="54"/>
        <v>178</v>
      </c>
      <c r="AT179" s="25" t="b">
        <f t="shared" si="55"/>
        <v>0</v>
      </c>
      <c r="AU179" s="25">
        <f t="shared" si="56"/>
        <v>178</v>
      </c>
      <c r="AV179" s="25">
        <f t="shared" si="52"/>
        <v>178</v>
      </c>
      <c r="AW179" s="25" t="b">
        <f t="shared" si="53"/>
        <v>0</v>
      </c>
      <c r="CL179" s="44"/>
    </row>
    <row r="180" spans="32:90" ht="15.75" customHeight="1">
      <c r="AF180" s="4">
        <v>179</v>
      </c>
      <c r="AG180" s="4">
        <v>1</v>
      </c>
      <c r="AH180" s="4">
        <v>1</v>
      </c>
      <c r="AI180" s="4">
        <v>1</v>
      </c>
      <c r="AJ180" t="s">
        <v>2075</v>
      </c>
      <c r="AK180">
        <v>12</v>
      </c>
      <c r="AL180">
        <v>12</v>
      </c>
      <c r="AM180">
        <v>3</v>
      </c>
      <c r="AN180">
        <v>2.5</v>
      </c>
      <c r="AO180">
        <v>48.75</v>
      </c>
      <c r="AP180">
        <v>100</v>
      </c>
      <c r="AQ180">
        <v>17.6</v>
      </c>
      <c r="AS180" s="38">
        <f t="shared" si="54"/>
        <v>179</v>
      </c>
      <c r="AT180" s="25" t="b">
        <f t="shared" si="55"/>
        <v>0</v>
      </c>
      <c r="AU180" s="25">
        <f t="shared" si="56"/>
        <v>179</v>
      </c>
      <c r="AV180" s="25">
        <f t="shared" si="52"/>
        <v>179</v>
      </c>
      <c r="AW180" s="25" t="b">
        <f t="shared" si="53"/>
        <v>0</v>
      </c>
      <c r="CL180" s="44"/>
    </row>
    <row r="181" spans="32:90" ht="15.75" customHeight="1">
      <c r="AF181" s="4">
        <v>180</v>
      </c>
      <c r="AG181" s="4">
        <v>1</v>
      </c>
      <c r="AH181" s="4">
        <v>1</v>
      </c>
      <c r="AI181" s="4">
        <v>2</v>
      </c>
      <c r="AJ181" t="s">
        <v>2076</v>
      </c>
      <c r="AK181">
        <v>12</v>
      </c>
      <c r="AL181">
        <v>12</v>
      </c>
      <c r="AM181">
        <v>3</v>
      </c>
      <c r="AN181">
        <v>10</v>
      </c>
      <c r="AO181">
        <v>41.91</v>
      </c>
      <c r="AP181">
        <v>100</v>
      </c>
      <c r="AQ181">
        <v>18.65</v>
      </c>
      <c r="AS181" s="38">
        <f t="shared" si="54"/>
        <v>180</v>
      </c>
      <c r="AT181" s="25" t="b">
        <f t="shared" si="55"/>
        <v>0</v>
      </c>
      <c r="AU181" s="25">
        <f t="shared" si="56"/>
        <v>180</v>
      </c>
      <c r="AV181" s="25" t="b">
        <f t="shared" si="52"/>
        <v>0</v>
      </c>
      <c r="AW181" s="25" t="b">
        <f t="shared" si="53"/>
        <v>0</v>
      </c>
      <c r="CL181" s="44"/>
    </row>
    <row r="182" spans="32:90" ht="15.75" customHeight="1">
      <c r="AF182" s="4">
        <v>181</v>
      </c>
      <c r="AG182" s="4">
        <v>1</v>
      </c>
      <c r="AH182" s="4">
        <v>1</v>
      </c>
      <c r="AI182" s="4">
        <v>1</v>
      </c>
      <c r="AJ182" t="s">
        <v>2077</v>
      </c>
      <c r="AK182">
        <v>12</v>
      </c>
      <c r="AL182">
        <v>12</v>
      </c>
      <c r="AM182">
        <v>3</v>
      </c>
      <c r="AN182">
        <v>2.5</v>
      </c>
      <c r="AO182">
        <v>38.75</v>
      </c>
      <c r="AP182">
        <v>100</v>
      </c>
      <c r="AQ182">
        <v>17.6</v>
      </c>
      <c r="AS182" s="38">
        <f t="shared" si="54"/>
        <v>181</v>
      </c>
      <c r="AT182" s="25" t="b">
        <f t="shared" si="55"/>
        <v>0</v>
      </c>
      <c r="AU182" s="25">
        <f t="shared" si="56"/>
        <v>181</v>
      </c>
      <c r="AV182" s="25">
        <f t="shared" si="52"/>
        <v>181</v>
      </c>
      <c r="AW182" s="25" t="b">
        <f t="shared" si="53"/>
        <v>0</v>
      </c>
      <c r="CL182" s="44"/>
    </row>
    <row r="183" spans="32:90" ht="15.75" customHeight="1">
      <c r="AF183" s="4">
        <v>182</v>
      </c>
      <c r="AG183" s="4">
        <v>1</v>
      </c>
      <c r="AH183" s="4">
        <v>1</v>
      </c>
      <c r="AI183" s="4">
        <v>1</v>
      </c>
      <c r="AJ183" t="s">
        <v>2078</v>
      </c>
      <c r="AK183">
        <v>12</v>
      </c>
      <c r="AL183">
        <v>12</v>
      </c>
      <c r="AM183">
        <v>3</v>
      </c>
      <c r="AN183">
        <v>2.5</v>
      </c>
      <c r="AO183">
        <v>31.25</v>
      </c>
      <c r="AP183">
        <v>100</v>
      </c>
      <c r="AQ183">
        <v>17.6</v>
      </c>
      <c r="AS183" s="38">
        <f t="shared" si="54"/>
        <v>182</v>
      </c>
      <c r="AT183" s="25" t="b">
        <f t="shared" si="55"/>
        <v>0</v>
      </c>
      <c r="AU183" s="25" t="b">
        <f t="shared" si="56"/>
        <v>0</v>
      </c>
      <c r="AV183" s="25">
        <f t="shared" si="52"/>
        <v>182</v>
      </c>
      <c r="AW183" s="25" t="b">
        <f t="shared" si="53"/>
        <v>0</v>
      </c>
      <c r="CL183" s="44"/>
    </row>
    <row r="184" spans="32:90" ht="15.75" customHeight="1">
      <c r="AF184" s="4">
        <v>183</v>
      </c>
      <c r="AG184" s="4">
        <v>1</v>
      </c>
      <c r="AH184" s="4">
        <v>1</v>
      </c>
      <c r="AI184" s="4">
        <v>2</v>
      </c>
      <c r="AJ184" t="s">
        <v>2079</v>
      </c>
      <c r="AK184">
        <v>12</v>
      </c>
      <c r="AL184">
        <v>12</v>
      </c>
      <c r="AM184">
        <v>3</v>
      </c>
      <c r="AN184">
        <v>10</v>
      </c>
      <c r="AO184">
        <v>31.75</v>
      </c>
      <c r="AP184">
        <v>100</v>
      </c>
      <c r="AQ184">
        <v>18.65</v>
      </c>
      <c r="AS184" s="38">
        <f t="shared" si="54"/>
        <v>183</v>
      </c>
      <c r="AT184" s="25" t="b">
        <f t="shared" si="55"/>
        <v>0</v>
      </c>
      <c r="AU184" s="25" t="b">
        <f t="shared" si="56"/>
        <v>0</v>
      </c>
      <c r="AV184" s="25" t="b">
        <f t="shared" si="52"/>
        <v>0</v>
      </c>
      <c r="AW184" s="25" t="b">
        <f t="shared" si="53"/>
        <v>0</v>
      </c>
      <c r="CL184" s="44"/>
    </row>
    <row r="185" spans="32:90" ht="15.75" customHeight="1">
      <c r="AF185" s="4">
        <v>184</v>
      </c>
      <c r="AG185" s="4">
        <v>1</v>
      </c>
      <c r="AH185" s="4">
        <v>1</v>
      </c>
      <c r="AI185" s="4">
        <v>2</v>
      </c>
      <c r="AJ185" t="s">
        <v>2080</v>
      </c>
      <c r="AK185">
        <v>12</v>
      </c>
      <c r="AL185">
        <v>11.7</v>
      </c>
      <c r="AM185">
        <v>3</v>
      </c>
      <c r="AN185">
        <v>11</v>
      </c>
      <c r="AO185">
        <v>42.72</v>
      </c>
      <c r="AP185">
        <v>100</v>
      </c>
      <c r="AQ185">
        <v>15.475</v>
      </c>
      <c r="AS185" s="38">
        <f t="shared" si="54"/>
        <v>184</v>
      </c>
      <c r="AT185" s="25" t="b">
        <f t="shared" si="55"/>
        <v>0</v>
      </c>
      <c r="AU185" s="25">
        <f t="shared" si="56"/>
        <v>184</v>
      </c>
      <c r="AV185" s="25" t="b">
        <f t="shared" si="52"/>
        <v>0</v>
      </c>
      <c r="AW185" s="25" t="b">
        <f t="shared" si="53"/>
        <v>0</v>
      </c>
      <c r="CL185" s="44"/>
    </row>
    <row r="186" spans="32:90" ht="15.75" customHeight="1">
      <c r="AF186" s="4">
        <v>185</v>
      </c>
      <c r="AG186" s="4">
        <v>1</v>
      </c>
      <c r="AH186" s="4">
        <v>1</v>
      </c>
      <c r="AI186" s="4">
        <v>2</v>
      </c>
      <c r="AJ186" t="s">
        <v>2081</v>
      </c>
      <c r="AK186">
        <v>10</v>
      </c>
      <c r="AL186">
        <v>10</v>
      </c>
      <c r="AM186">
        <v>4</v>
      </c>
      <c r="AN186">
        <v>18</v>
      </c>
      <c r="AO186">
        <v>30.34</v>
      </c>
      <c r="AP186">
        <v>100</v>
      </c>
      <c r="AQ186">
        <v>13.888</v>
      </c>
      <c r="AS186" s="38">
        <f t="shared" si="54"/>
        <v>185</v>
      </c>
      <c r="AT186" s="25" t="b">
        <f t="shared" si="55"/>
        <v>0</v>
      </c>
      <c r="AU186" s="25" t="b">
        <f t="shared" si="56"/>
        <v>0</v>
      </c>
      <c r="AV186" s="25" t="b">
        <f t="shared" si="52"/>
        <v>0</v>
      </c>
      <c r="AW186" s="25" t="b">
        <f t="shared" si="53"/>
        <v>0</v>
      </c>
      <c r="CL186" s="44"/>
    </row>
    <row r="187" spans="32:165" ht="15.75" customHeight="1">
      <c r="AF187" s="4">
        <v>186</v>
      </c>
      <c r="AG187" s="4">
        <v>1</v>
      </c>
      <c r="AH187" s="4">
        <v>1</v>
      </c>
      <c r="AI187" s="4">
        <v>2</v>
      </c>
      <c r="AJ187" t="s">
        <v>2082</v>
      </c>
      <c r="AK187">
        <v>10</v>
      </c>
      <c r="AL187">
        <v>10</v>
      </c>
      <c r="AM187">
        <v>4</v>
      </c>
      <c r="AN187">
        <v>20</v>
      </c>
      <c r="AO187">
        <v>27.31</v>
      </c>
      <c r="AP187">
        <v>76</v>
      </c>
      <c r="AQ187">
        <v>12.3</v>
      </c>
      <c r="AS187" s="38">
        <f t="shared" si="54"/>
        <v>186</v>
      </c>
      <c r="AT187" s="25" t="b">
        <f t="shared" si="55"/>
        <v>0</v>
      </c>
      <c r="AU187" s="25" t="b">
        <f t="shared" si="56"/>
        <v>0</v>
      </c>
      <c r="AV187" s="25" t="b">
        <f t="shared" si="52"/>
        <v>0</v>
      </c>
      <c r="AW187" s="25" t="b">
        <f t="shared" si="53"/>
        <v>0</v>
      </c>
      <c r="CL187" s="44"/>
      <c r="FH187" s="143">
        <v>39</v>
      </c>
      <c r="FI187" s="151" t="s">
        <v>28</v>
      </c>
    </row>
    <row r="188" spans="32:90" ht="15.75" customHeight="1">
      <c r="AF188" s="4">
        <v>187</v>
      </c>
      <c r="AG188" s="4">
        <v>1</v>
      </c>
      <c r="AH188" s="4">
        <v>1</v>
      </c>
      <c r="AI188" s="4">
        <v>2</v>
      </c>
      <c r="AJ188" t="s">
        <v>2083</v>
      </c>
      <c r="AK188">
        <v>10</v>
      </c>
      <c r="AL188">
        <v>10</v>
      </c>
      <c r="AM188">
        <v>4</v>
      </c>
      <c r="AN188">
        <v>18</v>
      </c>
      <c r="AO188">
        <v>23.28</v>
      </c>
      <c r="AP188">
        <v>76</v>
      </c>
      <c r="AQ188">
        <v>13.888</v>
      </c>
      <c r="AS188" s="38">
        <f t="shared" si="54"/>
        <v>187</v>
      </c>
      <c r="AT188" s="25" t="b">
        <f t="shared" si="55"/>
        <v>0</v>
      </c>
      <c r="AU188" s="25" t="b">
        <f t="shared" si="56"/>
        <v>0</v>
      </c>
      <c r="AV188" s="25" t="b">
        <f t="shared" si="52"/>
        <v>0</v>
      </c>
      <c r="AW188" s="25" t="b">
        <f t="shared" si="53"/>
        <v>0</v>
      </c>
      <c r="CL188" s="44"/>
    </row>
    <row r="189" spans="32:90" ht="15.75" customHeight="1">
      <c r="AF189" s="4">
        <v>188</v>
      </c>
      <c r="AG189" s="4">
        <v>1</v>
      </c>
      <c r="AH189" s="4">
        <v>1</v>
      </c>
      <c r="AI189" s="4">
        <v>1</v>
      </c>
      <c r="AJ189" t="s">
        <v>2084</v>
      </c>
      <c r="AK189">
        <v>10</v>
      </c>
      <c r="AL189">
        <v>10</v>
      </c>
      <c r="AM189">
        <v>4</v>
      </c>
      <c r="AN189">
        <v>1.5</v>
      </c>
      <c r="AO189">
        <v>23.25</v>
      </c>
      <c r="AP189">
        <v>76</v>
      </c>
      <c r="AQ189">
        <v>13.6</v>
      </c>
      <c r="AS189" s="38">
        <f t="shared" si="54"/>
        <v>188</v>
      </c>
      <c r="AT189" s="25" t="b">
        <f t="shared" si="55"/>
        <v>0</v>
      </c>
      <c r="AU189" s="25" t="b">
        <f t="shared" si="56"/>
        <v>0</v>
      </c>
      <c r="AV189" s="25">
        <f t="shared" si="52"/>
        <v>188</v>
      </c>
      <c r="AW189" s="25" t="b">
        <f t="shared" si="53"/>
        <v>0</v>
      </c>
      <c r="CL189" s="44"/>
    </row>
    <row r="190" spans="32:90" ht="15.75" customHeight="1">
      <c r="AF190" s="4">
        <v>189</v>
      </c>
      <c r="AG190" s="4">
        <v>1</v>
      </c>
      <c r="AH190" s="4">
        <v>1</v>
      </c>
      <c r="AI190" s="4">
        <v>2</v>
      </c>
      <c r="AJ190" t="s">
        <v>2085</v>
      </c>
      <c r="AK190">
        <v>10</v>
      </c>
      <c r="AL190">
        <v>10</v>
      </c>
      <c r="AM190">
        <v>4</v>
      </c>
      <c r="AN190">
        <v>20</v>
      </c>
      <c r="AO190">
        <v>20.96</v>
      </c>
      <c r="AP190">
        <v>76</v>
      </c>
      <c r="AQ190">
        <v>12.3</v>
      </c>
      <c r="AS190" s="38">
        <f t="shared" si="54"/>
        <v>189</v>
      </c>
      <c r="AT190" s="25" t="b">
        <f t="shared" si="55"/>
        <v>0</v>
      </c>
      <c r="AU190" s="25" t="b">
        <f t="shared" si="56"/>
        <v>0</v>
      </c>
      <c r="AV190" s="25" t="b">
        <f t="shared" si="52"/>
        <v>0</v>
      </c>
      <c r="AW190" s="25" t="b">
        <f t="shared" si="53"/>
        <v>0</v>
      </c>
      <c r="CL190" s="44"/>
    </row>
    <row r="191" spans="32:90" ht="15.75" customHeight="1">
      <c r="AF191" s="4">
        <v>190</v>
      </c>
      <c r="AG191" s="4">
        <v>1</v>
      </c>
      <c r="AH191" s="4">
        <v>1</v>
      </c>
      <c r="AI191" s="4">
        <v>1</v>
      </c>
      <c r="AJ191" t="s">
        <v>2086</v>
      </c>
      <c r="AK191">
        <v>10</v>
      </c>
      <c r="AL191">
        <v>10</v>
      </c>
      <c r="AM191">
        <v>3</v>
      </c>
      <c r="AN191">
        <v>2</v>
      </c>
      <c r="AO191">
        <v>37</v>
      </c>
      <c r="AP191">
        <v>100</v>
      </c>
      <c r="AQ191">
        <v>13.6</v>
      </c>
      <c r="AS191" s="38">
        <f t="shared" si="54"/>
        <v>190</v>
      </c>
      <c r="AT191" s="25" t="b">
        <f t="shared" si="55"/>
        <v>0</v>
      </c>
      <c r="AU191" s="25">
        <f t="shared" si="56"/>
        <v>190</v>
      </c>
      <c r="AV191" s="25">
        <f t="shared" si="52"/>
        <v>190</v>
      </c>
      <c r="AW191" s="25" t="b">
        <f t="shared" si="53"/>
        <v>0</v>
      </c>
      <c r="CL191" s="44"/>
    </row>
    <row r="192" spans="32:90" ht="15.75" customHeight="1">
      <c r="AF192" s="4">
        <v>191</v>
      </c>
      <c r="AG192" s="4">
        <v>1</v>
      </c>
      <c r="AH192" s="4">
        <v>1</v>
      </c>
      <c r="AI192" s="4">
        <v>2</v>
      </c>
      <c r="AJ192" t="s">
        <v>2087</v>
      </c>
      <c r="AK192">
        <v>10</v>
      </c>
      <c r="AL192">
        <v>10</v>
      </c>
      <c r="AM192">
        <v>3</v>
      </c>
      <c r="AN192">
        <v>11</v>
      </c>
      <c r="AO192">
        <v>35.79</v>
      </c>
      <c r="AP192">
        <v>100</v>
      </c>
      <c r="AQ192">
        <v>15.475</v>
      </c>
      <c r="AS192" s="38">
        <f t="shared" si="54"/>
        <v>191</v>
      </c>
      <c r="AT192" s="25" t="b">
        <f t="shared" si="55"/>
        <v>0</v>
      </c>
      <c r="AU192" s="25" t="b">
        <f t="shared" si="56"/>
        <v>0</v>
      </c>
      <c r="AV192" s="25" t="b">
        <f t="shared" si="52"/>
        <v>0</v>
      </c>
      <c r="AW192" s="25" t="b">
        <f t="shared" si="53"/>
        <v>0</v>
      </c>
      <c r="CL192" s="44"/>
    </row>
    <row r="193" spans="32:90" ht="15.75" customHeight="1">
      <c r="AF193" s="4">
        <v>192</v>
      </c>
      <c r="AG193" s="4">
        <v>1</v>
      </c>
      <c r="AH193" s="4">
        <v>1</v>
      </c>
      <c r="AI193" s="4">
        <v>1</v>
      </c>
      <c r="AJ193" t="s">
        <v>2088</v>
      </c>
      <c r="AK193">
        <v>10</v>
      </c>
      <c r="AL193">
        <v>10</v>
      </c>
      <c r="AM193">
        <v>3</v>
      </c>
      <c r="AN193">
        <v>2</v>
      </c>
      <c r="AO193">
        <v>31</v>
      </c>
      <c r="AP193">
        <v>100</v>
      </c>
      <c r="AQ193">
        <v>13.6</v>
      </c>
      <c r="AS193" s="38">
        <f t="shared" si="54"/>
        <v>192</v>
      </c>
      <c r="AT193" s="25" t="b">
        <f t="shared" si="55"/>
        <v>0</v>
      </c>
      <c r="AU193" s="25" t="b">
        <f t="shared" si="56"/>
        <v>0</v>
      </c>
      <c r="AV193" s="25">
        <f t="shared" si="52"/>
        <v>192</v>
      </c>
      <c r="AW193" s="25" t="b">
        <f t="shared" si="53"/>
        <v>0</v>
      </c>
      <c r="CL193" s="44"/>
    </row>
    <row r="194" spans="32:90" ht="15.75" customHeight="1">
      <c r="AF194" s="4">
        <v>193</v>
      </c>
      <c r="AG194" s="4">
        <v>1</v>
      </c>
      <c r="AH194" s="4">
        <v>1</v>
      </c>
      <c r="AI194" s="4">
        <v>2</v>
      </c>
      <c r="AJ194" t="s">
        <v>2089</v>
      </c>
      <c r="AK194">
        <v>10</v>
      </c>
      <c r="AL194">
        <v>10</v>
      </c>
      <c r="AM194">
        <v>3</v>
      </c>
      <c r="AN194">
        <v>12</v>
      </c>
      <c r="AO194">
        <v>30.69</v>
      </c>
      <c r="AP194">
        <v>100</v>
      </c>
      <c r="AQ194">
        <v>13.888</v>
      </c>
      <c r="AS194" s="38">
        <f t="shared" si="54"/>
        <v>193</v>
      </c>
      <c r="AT194" s="25" t="b">
        <f t="shared" si="55"/>
        <v>0</v>
      </c>
      <c r="AU194" s="25" t="b">
        <f t="shared" si="56"/>
        <v>0</v>
      </c>
      <c r="AV194" s="25" t="b">
        <f t="shared" si="52"/>
        <v>0</v>
      </c>
      <c r="AW194" s="25" t="b">
        <f t="shared" si="53"/>
        <v>0</v>
      </c>
      <c r="CL194" s="44"/>
    </row>
    <row r="195" spans="32:90" ht="15.75" customHeight="1">
      <c r="AF195" s="4">
        <v>194</v>
      </c>
      <c r="AG195" s="4">
        <v>1</v>
      </c>
      <c r="AH195" s="4">
        <v>1</v>
      </c>
      <c r="AI195" s="4">
        <v>2</v>
      </c>
      <c r="AJ195" t="s">
        <v>2090</v>
      </c>
      <c r="AK195">
        <v>10</v>
      </c>
      <c r="AL195">
        <v>10</v>
      </c>
      <c r="AM195">
        <v>3</v>
      </c>
      <c r="AN195">
        <v>11</v>
      </c>
      <c r="AO195">
        <v>26.55</v>
      </c>
      <c r="AP195">
        <v>76</v>
      </c>
      <c r="AQ195">
        <v>15.475</v>
      </c>
      <c r="AS195" s="38">
        <f t="shared" si="54"/>
        <v>194</v>
      </c>
      <c r="AT195" s="25" t="b">
        <f t="shared" si="55"/>
        <v>0</v>
      </c>
      <c r="AU195" s="25" t="b">
        <f t="shared" si="56"/>
        <v>0</v>
      </c>
      <c r="AV195" s="25" t="b">
        <f>IF(AI195=BN$10,AF195)</f>
        <v>0</v>
      </c>
      <c r="AW195" s="25" t="b">
        <f>IF(AS195=FALSE,FALSE,IF(AT195=FALSE,FALSE,IF(AU195=FALSE,FALSE,IF(AV195=FALSE,FALSE,AF195))))</f>
        <v>0</v>
      </c>
      <c r="CL195" s="44"/>
    </row>
    <row r="196" spans="32:90" ht="15.75" customHeight="1">
      <c r="AF196" s="4">
        <v>195</v>
      </c>
      <c r="AG196" s="4">
        <v>1</v>
      </c>
      <c r="AH196" s="4">
        <v>1</v>
      </c>
      <c r="AI196" s="4">
        <v>2</v>
      </c>
      <c r="AJ196" t="s">
        <v>2091</v>
      </c>
      <c r="AK196">
        <v>10</v>
      </c>
      <c r="AL196">
        <v>10</v>
      </c>
      <c r="AM196">
        <v>3</v>
      </c>
      <c r="AN196">
        <v>12</v>
      </c>
      <c r="AO196">
        <v>24.34</v>
      </c>
      <c r="AP196">
        <v>76</v>
      </c>
      <c r="AQ196">
        <v>13.888</v>
      </c>
      <c r="AS196" s="38">
        <f t="shared" si="54"/>
        <v>195</v>
      </c>
      <c r="AT196" s="25" t="b">
        <f t="shared" si="55"/>
        <v>0</v>
      </c>
      <c r="AU196" s="25" t="b">
        <f t="shared" si="56"/>
        <v>0</v>
      </c>
      <c r="AV196" s="25" t="b">
        <f>IF(AI196=BN$10,AF196)</f>
        <v>0</v>
      </c>
      <c r="AW196" s="25" t="b">
        <f>IF(AS196=FALSE,FALSE,IF(AT196=FALSE,FALSE,IF(AU196=FALSE,FALSE,IF(AV196=FALSE,FALSE,AF196))))</f>
        <v>0</v>
      </c>
      <c r="CL196" s="44"/>
    </row>
    <row r="197" spans="32:90" ht="15.75" customHeight="1">
      <c r="AF197" s="4">
        <v>196</v>
      </c>
      <c r="AG197" s="4">
        <v>1</v>
      </c>
      <c r="AH197" s="4">
        <v>1</v>
      </c>
      <c r="AI197" s="4">
        <v>1</v>
      </c>
      <c r="AJ197" t="s">
        <v>2092</v>
      </c>
      <c r="AK197">
        <v>10</v>
      </c>
      <c r="AL197">
        <v>10</v>
      </c>
      <c r="AM197">
        <v>3</v>
      </c>
      <c r="AN197">
        <v>2</v>
      </c>
      <c r="AO197">
        <v>23</v>
      </c>
      <c r="AP197">
        <v>76</v>
      </c>
      <c r="AQ197">
        <v>13.6</v>
      </c>
      <c r="AS197" s="38">
        <f t="shared" si="54"/>
        <v>196</v>
      </c>
      <c r="AT197" s="25" t="b">
        <f t="shared" si="55"/>
        <v>0</v>
      </c>
      <c r="AU197" s="25" t="b">
        <f t="shared" si="56"/>
        <v>0</v>
      </c>
      <c r="AV197" s="25">
        <f>IF(AI197=BN$10,AF197)</f>
        <v>196</v>
      </c>
      <c r="AW197" s="25" t="b">
        <f>IF(AS197=FALSE,FALSE,IF(AT197=FALSE,FALSE,IF(AU197=FALSE,FALSE,IF(AV197=FALSE,FALSE,AF197))))</f>
        <v>0</v>
      </c>
      <c r="CL197" s="44"/>
    </row>
    <row r="198" spans="32:90" ht="15.75" customHeight="1">
      <c r="AF198" s="4">
        <v>197</v>
      </c>
      <c r="AG198" s="4">
        <v>1</v>
      </c>
      <c r="AH198" s="4">
        <v>1</v>
      </c>
      <c r="AI198" s="4">
        <v>1</v>
      </c>
      <c r="AJ198" t="s">
        <v>2093</v>
      </c>
      <c r="AK198">
        <v>10</v>
      </c>
      <c r="AL198">
        <v>9</v>
      </c>
      <c r="AM198">
        <v>3</v>
      </c>
      <c r="AN198">
        <v>1.75</v>
      </c>
      <c r="AO198">
        <v>37.62</v>
      </c>
      <c r="AP198">
        <v>100</v>
      </c>
      <c r="AQ198">
        <v>11.6</v>
      </c>
      <c r="AS198" s="38">
        <f t="shared" si="54"/>
        <v>197</v>
      </c>
      <c r="AT198" s="25" t="b">
        <f t="shared" si="55"/>
        <v>0</v>
      </c>
      <c r="AU198" s="25">
        <f t="shared" si="56"/>
        <v>197</v>
      </c>
      <c r="AV198" s="25">
        <f>IF(AI198=BN$10,AF198)</f>
        <v>197</v>
      </c>
      <c r="AW198" s="25" t="b">
        <f>IF(AS198=FALSE,FALSE,IF(AT198=FALSE,FALSE,IF(AU198=FALSE,FALSE,IF(AV198=FALSE,FALSE,AF198))))</f>
        <v>0</v>
      </c>
      <c r="CL198" s="44"/>
    </row>
    <row r="199" spans="32:90" ht="15.75" customHeight="1">
      <c r="AF199" s="4">
        <v>198</v>
      </c>
      <c r="AG199" s="4">
        <v>1</v>
      </c>
      <c r="AH199" s="4">
        <v>1</v>
      </c>
      <c r="AI199" s="4">
        <v>1</v>
      </c>
      <c r="AJ199" t="s">
        <v>2094</v>
      </c>
      <c r="AK199">
        <v>10</v>
      </c>
      <c r="AL199">
        <v>9</v>
      </c>
      <c r="AM199">
        <v>3</v>
      </c>
      <c r="AN199">
        <v>1.75</v>
      </c>
      <c r="AO199">
        <v>32.37</v>
      </c>
      <c r="AP199">
        <v>100</v>
      </c>
      <c r="AQ199">
        <v>11.6</v>
      </c>
      <c r="AS199" s="38">
        <f aca="true" t="shared" si="57" ref="AS199:AS235">IF(C$14&gt;=AQ199,AF199)</f>
        <v>198</v>
      </c>
      <c r="AT199" s="25" t="b">
        <f aca="true" t="shared" si="58" ref="AT199:AT235">IF(C$15=AN199,AF199)</f>
        <v>0</v>
      </c>
      <c r="AU199" s="25" t="b">
        <f aca="true" t="shared" si="59" ref="AU199:AU235">IF(C$16&lt;=AO199,AF199)</f>
        <v>0</v>
      </c>
      <c r="AV199" s="25">
        <f aca="true" t="shared" si="60" ref="AV199:AV235">IF(AI199=BN$10,AF199)</f>
        <v>198</v>
      </c>
      <c r="AW199" s="25" t="b">
        <f aca="true" t="shared" si="61" ref="AW199:AW235">IF(AS199=FALSE,FALSE,IF(AT199=FALSE,FALSE,IF(AU199=FALSE,FALSE,IF(AV199=FALSE,FALSE,AF199))))</f>
        <v>0</v>
      </c>
      <c r="CL199" s="44"/>
    </row>
    <row r="200" spans="32:90" ht="15.75" customHeight="1">
      <c r="AF200" s="4">
        <v>199</v>
      </c>
      <c r="AG200" s="4">
        <v>1</v>
      </c>
      <c r="AH200" s="4">
        <v>1</v>
      </c>
      <c r="AI200" s="4">
        <v>1</v>
      </c>
      <c r="AJ200" t="s">
        <v>2095</v>
      </c>
      <c r="AK200">
        <v>10</v>
      </c>
      <c r="AL200">
        <v>9</v>
      </c>
      <c r="AM200">
        <v>3</v>
      </c>
      <c r="AN200">
        <v>1.75</v>
      </c>
      <c r="AO200">
        <v>27.12</v>
      </c>
      <c r="AP200">
        <v>76</v>
      </c>
      <c r="AQ200">
        <v>11.6</v>
      </c>
      <c r="AS200" s="38">
        <f t="shared" si="57"/>
        <v>199</v>
      </c>
      <c r="AT200" s="25" t="b">
        <f t="shared" si="58"/>
        <v>0</v>
      </c>
      <c r="AU200" s="25" t="b">
        <f t="shared" si="59"/>
        <v>0</v>
      </c>
      <c r="AV200" s="25">
        <f t="shared" si="60"/>
        <v>199</v>
      </c>
      <c r="AW200" s="25" t="b">
        <f t="shared" si="61"/>
        <v>0</v>
      </c>
      <c r="CL200" s="44"/>
    </row>
    <row r="201" spans="32:90" ht="15.75" customHeight="1">
      <c r="AF201" s="4">
        <v>200</v>
      </c>
      <c r="AG201" s="4">
        <v>1</v>
      </c>
      <c r="AH201" s="4">
        <v>1</v>
      </c>
      <c r="AI201" s="4">
        <v>1</v>
      </c>
      <c r="AJ201" t="s">
        <v>2096</v>
      </c>
      <c r="AK201">
        <v>10</v>
      </c>
      <c r="AL201">
        <v>9</v>
      </c>
      <c r="AM201">
        <v>3</v>
      </c>
      <c r="AN201">
        <v>1.75</v>
      </c>
      <c r="AO201">
        <v>20.12</v>
      </c>
      <c r="AP201">
        <v>76</v>
      </c>
      <c r="AQ201">
        <v>11.6</v>
      </c>
      <c r="AS201" s="38">
        <f t="shared" si="57"/>
        <v>200</v>
      </c>
      <c r="AT201" s="25" t="b">
        <f t="shared" si="58"/>
        <v>0</v>
      </c>
      <c r="AU201" s="25" t="b">
        <f t="shared" si="59"/>
        <v>0</v>
      </c>
      <c r="AV201" s="25">
        <f t="shared" si="60"/>
        <v>200</v>
      </c>
      <c r="AW201" s="25" t="b">
        <f t="shared" si="61"/>
        <v>0</v>
      </c>
      <c r="CL201" s="44"/>
    </row>
    <row r="202" spans="32:90" ht="15.75" customHeight="1">
      <c r="AF202" s="4">
        <v>201</v>
      </c>
      <c r="AG202" s="4">
        <v>1</v>
      </c>
      <c r="AH202" s="4">
        <v>1</v>
      </c>
      <c r="AI202" s="4">
        <v>2</v>
      </c>
      <c r="AJ202" t="s">
        <v>2097</v>
      </c>
      <c r="AK202">
        <v>10</v>
      </c>
      <c r="AL202">
        <v>9</v>
      </c>
      <c r="AM202">
        <v>3</v>
      </c>
      <c r="AN202">
        <v>13</v>
      </c>
      <c r="AO202">
        <v>34.19</v>
      </c>
      <c r="AP202">
        <v>100</v>
      </c>
      <c r="AQ202">
        <v>12.3</v>
      </c>
      <c r="AS202" s="38">
        <f t="shared" si="57"/>
        <v>201</v>
      </c>
      <c r="AT202" s="25" t="b">
        <f t="shared" si="58"/>
        <v>0</v>
      </c>
      <c r="AU202" s="25" t="b">
        <f t="shared" si="59"/>
        <v>0</v>
      </c>
      <c r="AV202" s="25" t="b">
        <f t="shared" si="60"/>
        <v>0</v>
      </c>
      <c r="AW202" s="25" t="b">
        <f t="shared" si="61"/>
        <v>0</v>
      </c>
      <c r="CL202" s="44"/>
    </row>
    <row r="203" spans="32:90" ht="15.75" customHeight="1">
      <c r="AF203" s="4">
        <v>202</v>
      </c>
      <c r="AG203" s="4">
        <v>1</v>
      </c>
      <c r="AH203" s="4">
        <v>1</v>
      </c>
      <c r="AI203" s="4">
        <v>2</v>
      </c>
      <c r="AJ203" t="s">
        <v>2098</v>
      </c>
      <c r="AK203">
        <v>8</v>
      </c>
      <c r="AL203">
        <v>8</v>
      </c>
      <c r="AM203">
        <v>4</v>
      </c>
      <c r="AN203">
        <v>28</v>
      </c>
      <c r="AO203">
        <v>17.69</v>
      </c>
      <c r="AP203">
        <v>63</v>
      </c>
      <c r="AQ203">
        <v>9.4</v>
      </c>
      <c r="AS203" s="38">
        <f t="shared" si="57"/>
        <v>202</v>
      </c>
      <c r="AT203" s="25" t="b">
        <f t="shared" si="58"/>
        <v>0</v>
      </c>
      <c r="AU203" s="25" t="b">
        <f t="shared" si="59"/>
        <v>0</v>
      </c>
      <c r="AV203" s="25" t="b">
        <f t="shared" si="60"/>
        <v>0</v>
      </c>
      <c r="AW203" s="25" t="b">
        <f t="shared" si="61"/>
        <v>0</v>
      </c>
      <c r="CL203" s="44"/>
    </row>
    <row r="204" spans="32:90" ht="15.75" customHeight="1">
      <c r="AF204" s="4">
        <v>203</v>
      </c>
      <c r="AG204" s="4">
        <v>1</v>
      </c>
      <c r="AH204" s="4">
        <v>1</v>
      </c>
      <c r="AI204" s="4">
        <v>1</v>
      </c>
      <c r="AJ204" t="s">
        <v>2099</v>
      </c>
      <c r="AK204">
        <v>8</v>
      </c>
      <c r="AL204">
        <v>8</v>
      </c>
      <c r="AM204">
        <v>4</v>
      </c>
      <c r="AN204">
        <v>1</v>
      </c>
      <c r="AO204">
        <v>17.5</v>
      </c>
      <c r="AP204">
        <v>63</v>
      </c>
      <c r="AQ204">
        <v>9.8</v>
      </c>
      <c r="AS204" s="38">
        <f t="shared" si="57"/>
        <v>203</v>
      </c>
      <c r="AT204" s="25" t="b">
        <f t="shared" si="58"/>
        <v>0</v>
      </c>
      <c r="AU204" s="25" t="b">
        <f t="shared" si="59"/>
        <v>0</v>
      </c>
      <c r="AV204" s="25">
        <f t="shared" si="60"/>
        <v>203</v>
      </c>
      <c r="AW204" s="25" t="b">
        <f t="shared" si="61"/>
        <v>0</v>
      </c>
      <c r="CL204" s="44"/>
    </row>
    <row r="205" spans="32:90" ht="15.75" customHeight="1">
      <c r="AF205" s="4">
        <v>204</v>
      </c>
      <c r="AG205" s="4">
        <v>1</v>
      </c>
      <c r="AH205" s="4">
        <v>1</v>
      </c>
      <c r="AI205" s="4">
        <v>2</v>
      </c>
      <c r="AJ205" t="s">
        <v>2100</v>
      </c>
      <c r="AK205">
        <v>8</v>
      </c>
      <c r="AL205">
        <v>8</v>
      </c>
      <c r="AM205">
        <v>3</v>
      </c>
      <c r="AN205">
        <v>14</v>
      </c>
      <c r="AO205">
        <v>29.94</v>
      </c>
      <c r="AP205">
        <v>76</v>
      </c>
      <c r="AQ205">
        <v>10.712</v>
      </c>
      <c r="AS205" s="38">
        <f t="shared" si="57"/>
        <v>204</v>
      </c>
      <c r="AT205" s="25" t="b">
        <f t="shared" si="58"/>
        <v>0</v>
      </c>
      <c r="AU205" s="25" t="b">
        <f t="shared" si="59"/>
        <v>0</v>
      </c>
      <c r="AV205" s="25" t="b">
        <f t="shared" si="60"/>
        <v>0</v>
      </c>
      <c r="AW205" s="25" t="b">
        <f t="shared" si="61"/>
        <v>0</v>
      </c>
      <c r="CL205" s="44"/>
    </row>
    <row r="206" spans="32:90" ht="15.75" customHeight="1">
      <c r="AF206" s="4">
        <v>205</v>
      </c>
      <c r="AG206" s="4">
        <v>1</v>
      </c>
      <c r="AH206" s="4">
        <v>1</v>
      </c>
      <c r="AI206" s="4">
        <v>2</v>
      </c>
      <c r="AJ206" t="s">
        <v>2101</v>
      </c>
      <c r="AK206">
        <v>8</v>
      </c>
      <c r="AL206">
        <v>8</v>
      </c>
      <c r="AM206">
        <v>3</v>
      </c>
      <c r="AN206">
        <v>13</v>
      </c>
      <c r="AO206">
        <v>28.33</v>
      </c>
      <c r="AP206">
        <v>76</v>
      </c>
      <c r="AQ206">
        <v>12.3</v>
      </c>
      <c r="AS206" s="38">
        <f t="shared" si="57"/>
        <v>205</v>
      </c>
      <c r="AT206" s="25" t="b">
        <f t="shared" si="58"/>
        <v>0</v>
      </c>
      <c r="AU206" s="25" t="b">
        <f t="shared" si="59"/>
        <v>0</v>
      </c>
      <c r="AV206" s="25" t="b">
        <f t="shared" si="60"/>
        <v>0</v>
      </c>
      <c r="AW206" s="25" t="b">
        <f t="shared" si="61"/>
        <v>0</v>
      </c>
      <c r="CL206" s="44"/>
    </row>
    <row r="207" spans="32:90" ht="15.75" customHeight="1">
      <c r="AF207" s="4">
        <v>206</v>
      </c>
      <c r="AG207" s="4">
        <v>1</v>
      </c>
      <c r="AH207" s="4">
        <v>1</v>
      </c>
      <c r="AI207" s="4">
        <v>1</v>
      </c>
      <c r="AJ207" t="s">
        <v>2102</v>
      </c>
      <c r="AK207">
        <v>8</v>
      </c>
      <c r="AL207">
        <v>8</v>
      </c>
      <c r="AM207">
        <v>3</v>
      </c>
      <c r="AN207">
        <v>1.75</v>
      </c>
      <c r="AO207">
        <v>27.12</v>
      </c>
      <c r="AP207">
        <v>76</v>
      </c>
      <c r="AQ207">
        <v>11.6</v>
      </c>
      <c r="AS207" s="38">
        <f t="shared" si="57"/>
        <v>206</v>
      </c>
      <c r="AT207" s="25" t="b">
        <f t="shared" si="58"/>
        <v>0</v>
      </c>
      <c r="AU207" s="25" t="b">
        <f t="shared" si="59"/>
        <v>0</v>
      </c>
      <c r="AV207" s="25">
        <f t="shared" si="60"/>
        <v>206</v>
      </c>
      <c r="AW207" s="25" t="b">
        <f t="shared" si="61"/>
        <v>0</v>
      </c>
      <c r="CL207" s="44"/>
    </row>
    <row r="208" spans="32:90" ht="15.75" customHeight="1">
      <c r="AF208" s="4">
        <v>207</v>
      </c>
      <c r="AG208" s="4">
        <v>1</v>
      </c>
      <c r="AH208" s="4">
        <v>1</v>
      </c>
      <c r="AI208" s="4">
        <v>2</v>
      </c>
      <c r="AJ208" t="s">
        <v>2103</v>
      </c>
      <c r="AK208">
        <v>8</v>
      </c>
      <c r="AL208">
        <v>8</v>
      </c>
      <c r="AM208">
        <v>3</v>
      </c>
      <c r="AN208">
        <v>14</v>
      </c>
      <c r="AO208">
        <v>24.49</v>
      </c>
      <c r="AP208">
        <v>76</v>
      </c>
      <c r="AQ208">
        <v>10.712</v>
      </c>
      <c r="AS208" s="38">
        <f t="shared" si="57"/>
        <v>207</v>
      </c>
      <c r="AT208" s="25" t="b">
        <f t="shared" si="58"/>
        <v>0</v>
      </c>
      <c r="AU208" s="25" t="b">
        <f t="shared" si="59"/>
        <v>0</v>
      </c>
      <c r="AV208" s="25" t="b">
        <f t="shared" si="60"/>
        <v>0</v>
      </c>
      <c r="AW208" s="25" t="b">
        <f t="shared" si="61"/>
        <v>0</v>
      </c>
      <c r="CL208" s="44"/>
    </row>
    <row r="209" spans="32:90" ht="15.75" customHeight="1">
      <c r="AF209" s="4">
        <v>208</v>
      </c>
      <c r="AG209" s="4">
        <v>1</v>
      </c>
      <c r="AH209" s="4">
        <v>1</v>
      </c>
      <c r="AI209" s="4">
        <v>2</v>
      </c>
      <c r="AJ209" t="s">
        <v>2104</v>
      </c>
      <c r="AK209">
        <v>8</v>
      </c>
      <c r="AL209">
        <v>8</v>
      </c>
      <c r="AM209">
        <v>3</v>
      </c>
      <c r="AN209">
        <v>20</v>
      </c>
      <c r="AO209">
        <v>23.5</v>
      </c>
      <c r="AP209">
        <v>76</v>
      </c>
      <c r="AQ209">
        <v>10.712</v>
      </c>
      <c r="AS209" s="38">
        <f t="shared" si="57"/>
        <v>208</v>
      </c>
      <c r="AT209" s="25" t="b">
        <f t="shared" si="58"/>
        <v>0</v>
      </c>
      <c r="AU209" s="25" t="b">
        <f t="shared" si="59"/>
        <v>0</v>
      </c>
      <c r="AV209" s="25" t="b">
        <f t="shared" si="60"/>
        <v>0</v>
      </c>
      <c r="AW209" s="25" t="b">
        <f t="shared" si="61"/>
        <v>0</v>
      </c>
      <c r="CL209" s="44"/>
    </row>
    <row r="210" spans="32:90" ht="15.75" customHeight="1">
      <c r="AF210" s="4">
        <v>209</v>
      </c>
      <c r="AG210" s="4">
        <v>1</v>
      </c>
      <c r="AH210" s="4">
        <v>1</v>
      </c>
      <c r="AI210" s="4">
        <v>2</v>
      </c>
      <c r="AJ210" t="s">
        <v>2105</v>
      </c>
      <c r="AK210">
        <v>8</v>
      </c>
      <c r="AL210">
        <v>8</v>
      </c>
      <c r="AM210">
        <v>3</v>
      </c>
      <c r="AN210">
        <v>13</v>
      </c>
      <c r="AO210">
        <v>22.47</v>
      </c>
      <c r="AP210">
        <v>76</v>
      </c>
      <c r="AQ210">
        <v>12.3</v>
      </c>
      <c r="AS210" s="38">
        <f t="shared" si="57"/>
        <v>209</v>
      </c>
      <c r="AT210" s="25" t="b">
        <f t="shared" si="58"/>
        <v>0</v>
      </c>
      <c r="AU210" s="25" t="b">
        <f t="shared" si="59"/>
        <v>0</v>
      </c>
      <c r="AV210" s="25" t="b">
        <f t="shared" si="60"/>
        <v>0</v>
      </c>
      <c r="AW210" s="25" t="b">
        <f t="shared" si="61"/>
        <v>0</v>
      </c>
      <c r="CL210" s="44"/>
    </row>
    <row r="211" spans="32:90" ht="15.75" customHeight="1">
      <c r="AF211" s="4">
        <v>210</v>
      </c>
      <c r="AG211" s="4">
        <v>1</v>
      </c>
      <c r="AH211" s="4">
        <v>1</v>
      </c>
      <c r="AI211" s="4">
        <v>1</v>
      </c>
      <c r="AJ211" t="s">
        <v>2106</v>
      </c>
      <c r="AK211">
        <v>8</v>
      </c>
      <c r="AL211">
        <v>8</v>
      </c>
      <c r="AM211">
        <v>3</v>
      </c>
      <c r="AN211">
        <v>1.75</v>
      </c>
      <c r="AO211">
        <v>20.12</v>
      </c>
      <c r="AP211">
        <v>76</v>
      </c>
      <c r="AQ211">
        <v>11.6</v>
      </c>
      <c r="AS211" s="38">
        <f t="shared" si="57"/>
        <v>210</v>
      </c>
      <c r="AT211" s="25" t="b">
        <f t="shared" si="58"/>
        <v>0</v>
      </c>
      <c r="AU211" s="25" t="b">
        <f t="shared" si="59"/>
        <v>0</v>
      </c>
      <c r="AV211" s="25">
        <f t="shared" si="60"/>
        <v>210</v>
      </c>
      <c r="AW211" s="25" t="b">
        <f t="shared" si="61"/>
        <v>0</v>
      </c>
      <c r="CL211" s="44"/>
    </row>
    <row r="212" spans="32:90" ht="15.75" customHeight="1">
      <c r="AF212" s="4">
        <v>211</v>
      </c>
      <c r="AG212" s="4">
        <v>1</v>
      </c>
      <c r="AH212" s="4">
        <v>1</v>
      </c>
      <c r="AI212" s="4">
        <v>2</v>
      </c>
      <c r="AJ212" t="s">
        <v>2107</v>
      </c>
      <c r="AK212">
        <v>8</v>
      </c>
      <c r="AL212">
        <v>8</v>
      </c>
      <c r="AM212">
        <v>3</v>
      </c>
      <c r="AN212">
        <v>14</v>
      </c>
      <c r="AO212">
        <v>19.05</v>
      </c>
      <c r="AP212">
        <v>63</v>
      </c>
      <c r="AQ212">
        <v>10.712</v>
      </c>
      <c r="AS212" s="38">
        <f t="shared" si="57"/>
        <v>211</v>
      </c>
      <c r="AT212" s="25" t="b">
        <f t="shared" si="58"/>
        <v>0</v>
      </c>
      <c r="AU212" s="25" t="b">
        <f t="shared" si="59"/>
        <v>0</v>
      </c>
      <c r="AV212" s="25" t="b">
        <f t="shared" si="60"/>
        <v>0</v>
      </c>
      <c r="AW212" s="25" t="b">
        <f t="shared" si="61"/>
        <v>0</v>
      </c>
      <c r="CL212" s="44"/>
    </row>
    <row r="213" spans="32:90" ht="15.75" customHeight="1">
      <c r="AF213" s="4">
        <v>212</v>
      </c>
      <c r="AG213" s="4">
        <v>1</v>
      </c>
      <c r="AH213" s="4">
        <v>1</v>
      </c>
      <c r="AI213" s="4">
        <v>2</v>
      </c>
      <c r="AJ213" t="s">
        <v>2108</v>
      </c>
      <c r="AK213">
        <v>8</v>
      </c>
      <c r="AL213">
        <v>8</v>
      </c>
      <c r="AM213">
        <v>3</v>
      </c>
      <c r="AN213">
        <v>20</v>
      </c>
      <c r="AO213">
        <v>18.41</v>
      </c>
      <c r="AP213">
        <v>63</v>
      </c>
      <c r="AQ213">
        <v>10.712</v>
      </c>
      <c r="AS213" s="38">
        <f t="shared" si="57"/>
        <v>212</v>
      </c>
      <c r="AT213" s="25" t="b">
        <f t="shared" si="58"/>
        <v>0</v>
      </c>
      <c r="AU213" s="25" t="b">
        <f t="shared" si="59"/>
        <v>0</v>
      </c>
      <c r="AV213" s="25" t="b">
        <f t="shared" si="60"/>
        <v>0</v>
      </c>
      <c r="AW213" s="25" t="b">
        <f t="shared" si="61"/>
        <v>0</v>
      </c>
      <c r="CL213" s="44"/>
    </row>
    <row r="214" spans="32:90" ht="15.75" customHeight="1">
      <c r="AF214" s="4">
        <v>213</v>
      </c>
      <c r="AG214" s="4">
        <v>1</v>
      </c>
      <c r="AH214" s="4">
        <v>1</v>
      </c>
      <c r="AI214" s="4">
        <v>2</v>
      </c>
      <c r="AJ214" t="s">
        <v>2109</v>
      </c>
      <c r="AK214">
        <v>8</v>
      </c>
      <c r="AL214">
        <v>7</v>
      </c>
      <c r="AM214">
        <v>3</v>
      </c>
      <c r="AN214">
        <v>16</v>
      </c>
      <c r="AO214">
        <v>26.19</v>
      </c>
      <c r="AP214">
        <v>76</v>
      </c>
      <c r="AQ214">
        <v>9.325</v>
      </c>
      <c r="AS214" s="38">
        <f t="shared" si="57"/>
        <v>213</v>
      </c>
      <c r="AT214" s="25" t="b">
        <f t="shared" si="58"/>
        <v>0</v>
      </c>
      <c r="AU214" s="25" t="b">
        <f t="shared" si="59"/>
        <v>0</v>
      </c>
      <c r="AV214" s="25" t="b">
        <f t="shared" si="60"/>
        <v>0</v>
      </c>
      <c r="AW214" s="25" t="b">
        <f t="shared" si="61"/>
        <v>0</v>
      </c>
      <c r="CL214" s="44"/>
    </row>
    <row r="215" spans="32:90" ht="15.75" customHeight="1">
      <c r="AF215" s="4">
        <v>214</v>
      </c>
      <c r="AG215" s="4">
        <v>1</v>
      </c>
      <c r="AH215" s="4">
        <v>1</v>
      </c>
      <c r="AI215" s="4">
        <v>2</v>
      </c>
      <c r="AJ215" t="s">
        <v>2110</v>
      </c>
      <c r="AK215">
        <v>8</v>
      </c>
      <c r="AL215">
        <v>7.6</v>
      </c>
      <c r="AM215">
        <v>3</v>
      </c>
      <c r="AN215">
        <v>24</v>
      </c>
      <c r="AO215">
        <v>20.64</v>
      </c>
      <c r="AP215">
        <v>76</v>
      </c>
      <c r="AQ215">
        <v>9.325</v>
      </c>
      <c r="AS215" s="38">
        <f t="shared" si="57"/>
        <v>214</v>
      </c>
      <c r="AT215" s="25" t="b">
        <f t="shared" si="58"/>
        <v>0</v>
      </c>
      <c r="AU215" s="25" t="b">
        <f t="shared" si="59"/>
        <v>0</v>
      </c>
      <c r="AV215" s="25" t="b">
        <f t="shared" si="60"/>
        <v>0</v>
      </c>
      <c r="AW215" s="25" t="b">
        <f t="shared" si="61"/>
        <v>0</v>
      </c>
      <c r="CL215" s="44"/>
    </row>
    <row r="216" spans="32:90" ht="15.75" customHeight="1">
      <c r="AF216" s="4">
        <v>215</v>
      </c>
      <c r="AG216" s="4">
        <v>1</v>
      </c>
      <c r="AH216" s="4">
        <v>1</v>
      </c>
      <c r="AI216" s="4">
        <v>2</v>
      </c>
      <c r="AJ216" t="s">
        <v>2111</v>
      </c>
      <c r="AK216">
        <v>8</v>
      </c>
      <c r="AL216">
        <v>7.6</v>
      </c>
      <c r="AM216">
        <v>3</v>
      </c>
      <c r="AN216">
        <v>24</v>
      </c>
      <c r="AO216">
        <v>15.35</v>
      </c>
      <c r="AP216">
        <v>63</v>
      </c>
      <c r="AQ216">
        <v>9.325</v>
      </c>
      <c r="AS216" s="38">
        <f t="shared" si="57"/>
        <v>215</v>
      </c>
      <c r="AT216" s="25" t="b">
        <f t="shared" si="58"/>
        <v>0</v>
      </c>
      <c r="AU216" s="25" t="b">
        <f t="shared" si="59"/>
        <v>0</v>
      </c>
      <c r="AV216" s="25" t="b">
        <f t="shared" si="60"/>
        <v>0</v>
      </c>
      <c r="AW216" s="25" t="b">
        <f t="shared" si="61"/>
        <v>0</v>
      </c>
      <c r="CL216" s="44"/>
    </row>
    <row r="217" spans="32:90" ht="15.75" customHeight="1">
      <c r="AF217" s="4">
        <v>216</v>
      </c>
      <c r="AG217" s="4">
        <v>1</v>
      </c>
      <c r="AH217" s="4">
        <v>1</v>
      </c>
      <c r="AI217" s="4">
        <v>1</v>
      </c>
      <c r="AJ217" t="s">
        <v>2112</v>
      </c>
      <c r="AK217">
        <v>8</v>
      </c>
      <c r="AL217">
        <v>7.5</v>
      </c>
      <c r="AM217">
        <v>3</v>
      </c>
      <c r="AN217">
        <v>1.5</v>
      </c>
      <c r="AO217">
        <v>32.25</v>
      </c>
      <c r="AP217">
        <v>76</v>
      </c>
      <c r="AQ217">
        <v>9.6</v>
      </c>
      <c r="AS217" s="38">
        <f t="shared" si="57"/>
        <v>216</v>
      </c>
      <c r="AT217" s="25" t="b">
        <f t="shared" si="58"/>
        <v>0</v>
      </c>
      <c r="AU217" s="25" t="b">
        <f t="shared" si="59"/>
        <v>0</v>
      </c>
      <c r="AV217" s="25">
        <f t="shared" si="60"/>
        <v>216</v>
      </c>
      <c r="AW217" s="25" t="b">
        <f t="shared" si="61"/>
        <v>0</v>
      </c>
      <c r="CL217" s="44"/>
    </row>
    <row r="218" spans="32:90" ht="15.75" customHeight="1">
      <c r="AF218" s="4">
        <v>217</v>
      </c>
      <c r="AG218" s="4">
        <v>1</v>
      </c>
      <c r="AH218" s="4">
        <v>1</v>
      </c>
      <c r="AI218" s="4">
        <v>1</v>
      </c>
      <c r="AJ218" t="s">
        <v>2113</v>
      </c>
      <c r="AK218">
        <v>8</v>
      </c>
      <c r="AL218">
        <v>7.5</v>
      </c>
      <c r="AM218">
        <v>3</v>
      </c>
      <c r="AN218">
        <v>1.5</v>
      </c>
      <c r="AO218">
        <v>27.75</v>
      </c>
      <c r="AP218">
        <v>76</v>
      </c>
      <c r="AQ218">
        <v>9.6</v>
      </c>
      <c r="AS218" s="38">
        <f t="shared" si="57"/>
        <v>217</v>
      </c>
      <c r="AT218" s="25" t="b">
        <f t="shared" si="58"/>
        <v>0</v>
      </c>
      <c r="AU218" s="25" t="b">
        <f t="shared" si="59"/>
        <v>0</v>
      </c>
      <c r="AV218" s="25">
        <f t="shared" si="60"/>
        <v>217</v>
      </c>
      <c r="AW218" s="25" t="b">
        <f t="shared" si="61"/>
        <v>0</v>
      </c>
      <c r="CL218" s="44"/>
    </row>
    <row r="219" spans="32:90" ht="15.75" customHeight="1">
      <c r="AF219" s="4">
        <v>218</v>
      </c>
      <c r="AG219" s="4">
        <v>1</v>
      </c>
      <c r="AH219" s="4">
        <v>1</v>
      </c>
      <c r="AI219" s="4">
        <v>1</v>
      </c>
      <c r="AJ219" t="s">
        <v>2114</v>
      </c>
      <c r="AK219">
        <v>8</v>
      </c>
      <c r="AL219">
        <v>7.5</v>
      </c>
      <c r="AM219">
        <v>3</v>
      </c>
      <c r="AN219">
        <v>1.5</v>
      </c>
      <c r="AO219">
        <v>21.75</v>
      </c>
      <c r="AP219">
        <v>76</v>
      </c>
      <c r="AQ219">
        <v>9.6</v>
      </c>
      <c r="AS219" s="38">
        <f t="shared" si="57"/>
        <v>218</v>
      </c>
      <c r="AT219" s="25" t="b">
        <f t="shared" si="58"/>
        <v>0</v>
      </c>
      <c r="AU219" s="25" t="b">
        <f t="shared" si="59"/>
        <v>0</v>
      </c>
      <c r="AV219" s="25">
        <f t="shared" si="60"/>
        <v>218</v>
      </c>
      <c r="AW219" s="25" t="b">
        <f t="shared" si="61"/>
        <v>0</v>
      </c>
      <c r="CL219" s="44"/>
    </row>
    <row r="220" spans="32:90" ht="15.75" customHeight="1">
      <c r="AF220" s="4">
        <v>219</v>
      </c>
      <c r="AG220" s="4">
        <v>1</v>
      </c>
      <c r="AH220" s="4">
        <v>1</v>
      </c>
      <c r="AI220" s="4">
        <v>1</v>
      </c>
      <c r="AJ220" t="s">
        <v>2115</v>
      </c>
      <c r="AK220">
        <v>8</v>
      </c>
      <c r="AL220">
        <v>7.5</v>
      </c>
      <c r="AM220">
        <v>3</v>
      </c>
      <c r="AN220">
        <v>1.5</v>
      </c>
      <c r="AO220">
        <v>17.25</v>
      </c>
      <c r="AP220">
        <v>63</v>
      </c>
      <c r="AQ220">
        <v>9.6</v>
      </c>
      <c r="AS220" s="38">
        <f t="shared" si="57"/>
        <v>219</v>
      </c>
      <c r="AT220" s="25" t="b">
        <f t="shared" si="58"/>
        <v>0</v>
      </c>
      <c r="AU220" s="25" t="b">
        <f t="shared" si="59"/>
        <v>0</v>
      </c>
      <c r="AV220" s="25">
        <f t="shared" si="60"/>
        <v>219</v>
      </c>
      <c r="AW220" s="25" t="b">
        <f t="shared" si="61"/>
        <v>0</v>
      </c>
      <c r="CL220" s="44"/>
    </row>
    <row r="221" spans="32:90" ht="15.75" customHeight="1">
      <c r="AF221" s="4">
        <v>220</v>
      </c>
      <c r="AG221" s="4">
        <v>1</v>
      </c>
      <c r="AH221" s="4">
        <v>1</v>
      </c>
      <c r="AI221" s="4">
        <v>2</v>
      </c>
      <c r="AJ221" t="s">
        <v>2116</v>
      </c>
      <c r="AK221">
        <v>6</v>
      </c>
      <c r="AL221">
        <v>6</v>
      </c>
      <c r="AM221">
        <v>4</v>
      </c>
      <c r="AN221">
        <v>32</v>
      </c>
      <c r="AO221">
        <v>13.1</v>
      </c>
      <c r="AP221">
        <v>63</v>
      </c>
      <c r="AQ221">
        <v>7.2</v>
      </c>
      <c r="AS221" s="38">
        <f t="shared" si="57"/>
        <v>220</v>
      </c>
      <c r="AT221" s="25" t="b">
        <f t="shared" si="58"/>
        <v>0</v>
      </c>
      <c r="AU221" s="25" t="b">
        <f t="shared" si="59"/>
        <v>0</v>
      </c>
      <c r="AV221" s="25" t="b">
        <f t="shared" si="60"/>
        <v>0</v>
      </c>
      <c r="AW221" s="25" t="b">
        <f t="shared" si="61"/>
        <v>0</v>
      </c>
      <c r="CL221" s="44"/>
    </row>
    <row r="222" spans="32:90" ht="15.75" customHeight="1">
      <c r="AF222" s="4">
        <v>221</v>
      </c>
      <c r="AG222" s="4">
        <v>1</v>
      </c>
      <c r="AH222" s="4">
        <v>1</v>
      </c>
      <c r="AI222" s="4">
        <v>1</v>
      </c>
      <c r="AJ222" t="s">
        <v>2117</v>
      </c>
      <c r="AK222">
        <v>6</v>
      </c>
      <c r="AL222">
        <v>6</v>
      </c>
      <c r="AM222">
        <v>3</v>
      </c>
      <c r="AN222">
        <v>1.25</v>
      </c>
      <c r="AO222">
        <v>25.62</v>
      </c>
      <c r="AP222">
        <v>76</v>
      </c>
      <c r="AQ222">
        <v>7.8</v>
      </c>
      <c r="AS222" s="38">
        <f t="shared" si="57"/>
        <v>221</v>
      </c>
      <c r="AT222" s="25" t="b">
        <f t="shared" si="58"/>
        <v>0</v>
      </c>
      <c r="AU222" s="25" t="b">
        <f t="shared" si="59"/>
        <v>0</v>
      </c>
      <c r="AV222" s="25">
        <f t="shared" si="60"/>
        <v>221</v>
      </c>
      <c r="AW222" s="25" t="b">
        <f t="shared" si="61"/>
        <v>0</v>
      </c>
      <c r="CL222" s="44"/>
    </row>
    <row r="223" spans="32:90" ht="15.75" customHeight="1">
      <c r="AF223" s="4">
        <v>222</v>
      </c>
      <c r="AG223" s="4">
        <v>1</v>
      </c>
      <c r="AH223" s="4">
        <v>1</v>
      </c>
      <c r="AI223" s="4">
        <v>2</v>
      </c>
      <c r="AJ223" t="s">
        <v>2118</v>
      </c>
      <c r="AK223">
        <v>6</v>
      </c>
      <c r="AL223">
        <v>6</v>
      </c>
      <c r="AM223">
        <v>3</v>
      </c>
      <c r="AN223">
        <v>16</v>
      </c>
      <c r="AO223">
        <v>21.43</v>
      </c>
      <c r="AP223">
        <v>63</v>
      </c>
      <c r="AQ223">
        <v>9.325</v>
      </c>
      <c r="AS223" s="38">
        <f t="shared" si="57"/>
        <v>222</v>
      </c>
      <c r="AT223" s="25" t="b">
        <f t="shared" si="58"/>
        <v>0</v>
      </c>
      <c r="AU223" s="25" t="b">
        <f t="shared" si="59"/>
        <v>0</v>
      </c>
      <c r="AV223" s="25" t="b">
        <f t="shared" si="60"/>
        <v>0</v>
      </c>
      <c r="AW223" s="25" t="b">
        <f t="shared" si="61"/>
        <v>0</v>
      </c>
      <c r="CL223" s="44"/>
    </row>
    <row r="224" spans="32:90" ht="15.75" customHeight="1">
      <c r="AF224" s="4">
        <v>223</v>
      </c>
      <c r="AG224" s="4">
        <v>1</v>
      </c>
      <c r="AH224" s="4">
        <v>1</v>
      </c>
      <c r="AI224" s="4">
        <v>1</v>
      </c>
      <c r="AJ224" t="s">
        <v>2119</v>
      </c>
      <c r="AK224">
        <v>6</v>
      </c>
      <c r="AL224">
        <v>6</v>
      </c>
      <c r="AM224">
        <v>3</v>
      </c>
      <c r="AN224">
        <v>1.25</v>
      </c>
      <c r="AO224">
        <v>21.87</v>
      </c>
      <c r="AP224">
        <v>63</v>
      </c>
      <c r="AQ224">
        <v>7.8</v>
      </c>
      <c r="AS224" s="38">
        <f t="shared" si="57"/>
        <v>223</v>
      </c>
      <c r="AT224" s="25" t="b">
        <f t="shared" si="58"/>
        <v>0</v>
      </c>
      <c r="AU224" s="25" t="b">
        <f t="shared" si="59"/>
        <v>0</v>
      </c>
      <c r="AV224" s="25">
        <f t="shared" si="60"/>
        <v>223</v>
      </c>
      <c r="AW224" s="25" t="b">
        <f t="shared" si="61"/>
        <v>0</v>
      </c>
      <c r="CL224" s="44"/>
    </row>
    <row r="225" spans="32:90" ht="15.75" customHeight="1">
      <c r="AF225" s="4">
        <v>224</v>
      </c>
      <c r="AG225" s="4">
        <v>1</v>
      </c>
      <c r="AH225" s="4">
        <v>1</v>
      </c>
      <c r="AI225" s="4">
        <v>1</v>
      </c>
      <c r="AJ225" t="s">
        <v>2120</v>
      </c>
      <c r="AK225">
        <v>6</v>
      </c>
      <c r="AL225">
        <v>6</v>
      </c>
      <c r="AM225">
        <v>3</v>
      </c>
      <c r="AN225">
        <v>1.25</v>
      </c>
      <c r="AO225">
        <v>18.12</v>
      </c>
      <c r="AP225">
        <v>63</v>
      </c>
      <c r="AQ225">
        <v>7.8</v>
      </c>
      <c r="AS225" s="38">
        <f t="shared" si="57"/>
        <v>224</v>
      </c>
      <c r="AT225" s="25" t="b">
        <f t="shared" si="58"/>
        <v>0</v>
      </c>
      <c r="AU225" s="25" t="b">
        <f t="shared" si="59"/>
        <v>0</v>
      </c>
      <c r="AV225" s="25">
        <f t="shared" si="60"/>
        <v>224</v>
      </c>
      <c r="AW225" s="25" t="b">
        <f t="shared" si="61"/>
        <v>0</v>
      </c>
      <c r="CL225" s="44"/>
    </row>
    <row r="226" spans="32:90" ht="15.75" customHeight="1">
      <c r="AF226" s="4">
        <v>225</v>
      </c>
      <c r="AG226" s="4">
        <v>1</v>
      </c>
      <c r="AH226" s="4">
        <v>1</v>
      </c>
      <c r="AI226" s="4">
        <v>2</v>
      </c>
      <c r="AJ226" t="s">
        <v>2121</v>
      </c>
      <c r="AK226">
        <v>6</v>
      </c>
      <c r="AL226">
        <v>6</v>
      </c>
      <c r="AM226">
        <v>3</v>
      </c>
      <c r="AN226">
        <v>24</v>
      </c>
      <c r="AO226">
        <v>17.46</v>
      </c>
      <c r="AP226">
        <v>63</v>
      </c>
      <c r="AQ226">
        <v>7.738</v>
      </c>
      <c r="AS226" s="38">
        <f t="shared" si="57"/>
        <v>225</v>
      </c>
      <c r="AT226" s="25" t="b">
        <f t="shared" si="58"/>
        <v>0</v>
      </c>
      <c r="AU226" s="25" t="b">
        <f t="shared" si="59"/>
        <v>0</v>
      </c>
      <c r="AV226" s="25" t="b">
        <f t="shared" si="60"/>
        <v>0</v>
      </c>
      <c r="AW226" s="25" t="b">
        <f t="shared" si="61"/>
        <v>0</v>
      </c>
      <c r="CL226" s="44"/>
    </row>
    <row r="227" spans="32:90" ht="15.75" customHeight="1">
      <c r="AF227" s="4">
        <v>226</v>
      </c>
      <c r="AG227" s="4">
        <v>1</v>
      </c>
      <c r="AH227" s="4">
        <v>1</v>
      </c>
      <c r="AI227" s="4">
        <v>2</v>
      </c>
      <c r="AJ227" t="s">
        <v>2122</v>
      </c>
      <c r="AK227">
        <v>6</v>
      </c>
      <c r="AL227">
        <v>6</v>
      </c>
      <c r="AM227">
        <v>3</v>
      </c>
      <c r="AN227">
        <v>16</v>
      </c>
      <c r="AO227">
        <v>16.67</v>
      </c>
      <c r="AP227">
        <v>63</v>
      </c>
      <c r="AQ227">
        <v>9.325</v>
      </c>
      <c r="AS227" s="38">
        <f t="shared" si="57"/>
        <v>226</v>
      </c>
      <c r="AT227" s="25" t="b">
        <f t="shared" si="58"/>
        <v>0</v>
      </c>
      <c r="AU227" s="25" t="b">
        <f t="shared" si="59"/>
        <v>0</v>
      </c>
      <c r="AV227" s="25" t="b">
        <f t="shared" si="60"/>
        <v>0</v>
      </c>
      <c r="AW227" s="25" t="b">
        <f t="shared" si="61"/>
        <v>0</v>
      </c>
      <c r="CL227" s="44"/>
    </row>
    <row r="228" spans="32:90" ht="15.75" customHeight="1">
      <c r="AF228" s="4">
        <v>227</v>
      </c>
      <c r="AG228" s="4">
        <v>1</v>
      </c>
      <c r="AH228" s="4">
        <v>1</v>
      </c>
      <c r="AI228" s="4">
        <v>1</v>
      </c>
      <c r="AJ228" t="s">
        <v>2123</v>
      </c>
      <c r="AK228">
        <v>6</v>
      </c>
      <c r="AL228">
        <v>6</v>
      </c>
      <c r="AM228">
        <v>3</v>
      </c>
      <c r="AN228">
        <v>1.25</v>
      </c>
      <c r="AO228">
        <v>14.37</v>
      </c>
      <c r="AP228">
        <v>63</v>
      </c>
      <c r="AQ228">
        <v>7.8</v>
      </c>
      <c r="AS228" s="38">
        <f t="shared" si="57"/>
        <v>227</v>
      </c>
      <c r="AT228" s="25" t="b">
        <f t="shared" si="58"/>
        <v>0</v>
      </c>
      <c r="AU228" s="25" t="b">
        <f t="shared" si="59"/>
        <v>0</v>
      </c>
      <c r="AV228" s="25">
        <f t="shared" si="60"/>
        <v>227</v>
      </c>
      <c r="AW228" s="25" t="b">
        <f t="shared" si="61"/>
        <v>0</v>
      </c>
      <c r="CL228" s="44"/>
    </row>
    <row r="229" spans="32:90" ht="15.75" customHeight="1">
      <c r="AF229" s="4">
        <v>228</v>
      </c>
      <c r="AG229" s="4">
        <v>1</v>
      </c>
      <c r="AH229" s="4">
        <v>1</v>
      </c>
      <c r="AI229" s="4">
        <v>2</v>
      </c>
      <c r="AJ229" t="s">
        <v>2124</v>
      </c>
      <c r="AK229">
        <v>6</v>
      </c>
      <c r="AL229">
        <v>6</v>
      </c>
      <c r="AM229">
        <v>3</v>
      </c>
      <c r="AN229">
        <v>24</v>
      </c>
      <c r="AO229">
        <v>13.23</v>
      </c>
      <c r="AP229">
        <v>63</v>
      </c>
      <c r="AQ229">
        <v>7.738</v>
      </c>
      <c r="AS229" s="38">
        <f t="shared" si="57"/>
        <v>228</v>
      </c>
      <c r="AT229" s="25" t="b">
        <f t="shared" si="58"/>
        <v>0</v>
      </c>
      <c r="AU229" s="25" t="b">
        <f t="shared" si="59"/>
        <v>0</v>
      </c>
      <c r="AV229" s="25" t="b">
        <f t="shared" si="60"/>
        <v>0</v>
      </c>
      <c r="AW229" s="25" t="b">
        <f t="shared" si="61"/>
        <v>0</v>
      </c>
      <c r="CL229" s="44"/>
    </row>
    <row r="230" spans="32:90" ht="15.75" customHeight="1">
      <c r="AF230" s="4">
        <v>229</v>
      </c>
      <c r="AG230" s="4">
        <v>1</v>
      </c>
      <c r="AH230" s="4">
        <v>1</v>
      </c>
      <c r="AI230" s="4">
        <v>1</v>
      </c>
      <c r="AJ230" t="s">
        <v>2125</v>
      </c>
      <c r="AK230">
        <v>6</v>
      </c>
      <c r="AL230">
        <v>6</v>
      </c>
      <c r="AM230">
        <v>3</v>
      </c>
      <c r="AN230">
        <v>1</v>
      </c>
      <c r="AO230">
        <v>13.5</v>
      </c>
      <c r="AP230">
        <v>63</v>
      </c>
      <c r="AQ230">
        <v>7.8</v>
      </c>
      <c r="AS230" s="38">
        <f t="shared" si="57"/>
        <v>229</v>
      </c>
      <c r="AT230" s="25" t="b">
        <f t="shared" si="58"/>
        <v>0</v>
      </c>
      <c r="AU230" s="25" t="b">
        <f t="shared" si="59"/>
        <v>0</v>
      </c>
      <c r="AV230" s="25">
        <f t="shared" si="60"/>
        <v>229</v>
      </c>
      <c r="AW230" s="25" t="b">
        <f t="shared" si="61"/>
        <v>0</v>
      </c>
      <c r="CL230" s="44"/>
    </row>
    <row r="231" spans="32:90" ht="15.75" customHeight="1">
      <c r="AF231" s="4">
        <v>230</v>
      </c>
      <c r="AG231" s="4">
        <v>1</v>
      </c>
      <c r="AH231" s="4">
        <v>1</v>
      </c>
      <c r="AI231" s="4">
        <v>2</v>
      </c>
      <c r="AJ231" t="s">
        <v>2126</v>
      </c>
      <c r="AK231">
        <v>6</v>
      </c>
      <c r="AL231">
        <v>5</v>
      </c>
      <c r="AM231">
        <v>3</v>
      </c>
      <c r="AN231">
        <v>28</v>
      </c>
      <c r="AO231">
        <v>14.06</v>
      </c>
      <c r="AP231">
        <v>63</v>
      </c>
      <c r="AQ231">
        <v>6.15</v>
      </c>
      <c r="AS231" s="38">
        <f t="shared" si="57"/>
        <v>230</v>
      </c>
      <c r="AT231" s="25" t="b">
        <f t="shared" si="58"/>
        <v>0</v>
      </c>
      <c r="AU231" s="25" t="b">
        <f t="shared" si="59"/>
        <v>0</v>
      </c>
      <c r="AV231" s="25" t="b">
        <f t="shared" si="60"/>
        <v>0</v>
      </c>
      <c r="AW231" s="25" t="b">
        <f t="shared" si="61"/>
        <v>0</v>
      </c>
      <c r="CL231" s="44"/>
    </row>
    <row r="232" spans="32:90" ht="15.75" customHeight="1">
      <c r="AF232" s="4">
        <v>231</v>
      </c>
      <c r="AG232" s="4">
        <v>1</v>
      </c>
      <c r="AH232" s="4">
        <v>1</v>
      </c>
      <c r="AI232" s="4">
        <v>2</v>
      </c>
      <c r="AJ232" t="s">
        <v>2127</v>
      </c>
      <c r="AK232">
        <v>6</v>
      </c>
      <c r="AL232">
        <v>5</v>
      </c>
      <c r="AM232">
        <v>3</v>
      </c>
      <c r="AN232">
        <v>28</v>
      </c>
      <c r="AO232">
        <v>10.43</v>
      </c>
      <c r="AP232">
        <v>63</v>
      </c>
      <c r="AQ232">
        <v>6.15</v>
      </c>
      <c r="AS232" s="38">
        <f t="shared" si="57"/>
        <v>231</v>
      </c>
      <c r="AT232" s="25" t="b">
        <f t="shared" si="58"/>
        <v>0</v>
      </c>
      <c r="AU232" s="25" t="b">
        <f t="shared" si="59"/>
        <v>0</v>
      </c>
      <c r="AV232" s="25" t="b">
        <f t="shared" si="60"/>
        <v>0</v>
      </c>
      <c r="AW232" s="25" t="b">
        <f t="shared" si="61"/>
        <v>0</v>
      </c>
      <c r="CL232" s="44"/>
    </row>
    <row r="233" spans="32:90" ht="15.75" customHeight="1">
      <c r="AF233" s="4">
        <v>232</v>
      </c>
      <c r="AG233" s="4">
        <v>1</v>
      </c>
      <c r="AH233" s="4">
        <v>1</v>
      </c>
      <c r="AI233" s="4">
        <v>2</v>
      </c>
      <c r="AJ233" t="s">
        <v>2128</v>
      </c>
      <c r="AK233">
        <v>6</v>
      </c>
      <c r="AL233">
        <v>5.8</v>
      </c>
      <c r="AM233">
        <v>3</v>
      </c>
      <c r="AN233">
        <v>18</v>
      </c>
      <c r="AO233">
        <v>21.87</v>
      </c>
      <c r="AP233">
        <v>63</v>
      </c>
      <c r="AQ233">
        <v>7.738</v>
      </c>
      <c r="AS233" s="38">
        <f t="shared" si="57"/>
        <v>232</v>
      </c>
      <c r="AT233" s="25" t="b">
        <f t="shared" si="58"/>
        <v>0</v>
      </c>
      <c r="AU233" s="25" t="b">
        <f t="shared" si="59"/>
        <v>0</v>
      </c>
      <c r="AV233" s="25" t="b">
        <f t="shared" si="60"/>
        <v>0</v>
      </c>
      <c r="AW233" s="25" t="b">
        <f t="shared" si="61"/>
        <v>0</v>
      </c>
      <c r="CL233" s="44"/>
    </row>
    <row r="234" spans="32:90" ht="15.75" customHeight="1">
      <c r="AF234" s="4">
        <v>233</v>
      </c>
      <c r="AG234" s="4">
        <v>1</v>
      </c>
      <c r="AH234" s="4">
        <v>1</v>
      </c>
      <c r="AI234" s="4">
        <v>2</v>
      </c>
      <c r="AJ234" t="s">
        <v>2129</v>
      </c>
      <c r="AK234">
        <v>6</v>
      </c>
      <c r="AL234">
        <v>5.8</v>
      </c>
      <c r="AM234">
        <v>3</v>
      </c>
      <c r="AN234">
        <v>18</v>
      </c>
      <c r="AO234">
        <v>17.64</v>
      </c>
      <c r="AP234">
        <v>63</v>
      </c>
      <c r="AQ234">
        <v>7.738</v>
      </c>
      <c r="AS234" s="38">
        <f t="shared" si="57"/>
        <v>233</v>
      </c>
      <c r="AT234" s="25" t="b">
        <f t="shared" si="58"/>
        <v>0</v>
      </c>
      <c r="AU234" s="25" t="b">
        <f t="shared" si="59"/>
        <v>0</v>
      </c>
      <c r="AV234" s="25" t="b">
        <f t="shared" si="60"/>
        <v>0</v>
      </c>
      <c r="AW234" s="25" t="b">
        <f t="shared" si="61"/>
        <v>0</v>
      </c>
      <c r="CL234" s="44"/>
    </row>
    <row r="235" spans="32:90" ht="15.75" customHeight="1">
      <c r="AF235" s="4">
        <v>234</v>
      </c>
      <c r="AG235" s="4">
        <v>1</v>
      </c>
      <c r="AH235" s="4">
        <v>1</v>
      </c>
      <c r="AI235" s="4">
        <v>2</v>
      </c>
      <c r="AJ235" t="s">
        <v>2130</v>
      </c>
      <c r="AK235">
        <v>6</v>
      </c>
      <c r="AL235">
        <v>5.8</v>
      </c>
      <c r="AM235">
        <v>3</v>
      </c>
      <c r="AN235">
        <v>18</v>
      </c>
      <c r="AO235">
        <v>13.41</v>
      </c>
      <c r="AP235">
        <v>63</v>
      </c>
      <c r="AQ235">
        <v>7.738</v>
      </c>
      <c r="AS235" s="38">
        <f t="shared" si="57"/>
        <v>234</v>
      </c>
      <c r="AT235" s="25" t="b">
        <f t="shared" si="58"/>
        <v>0</v>
      </c>
      <c r="AU235" s="25" t="b">
        <f t="shared" si="59"/>
        <v>0</v>
      </c>
      <c r="AV235" s="25" t="b">
        <f t="shared" si="60"/>
        <v>0</v>
      </c>
      <c r="AW235" s="25" t="b">
        <f t="shared" si="61"/>
        <v>0</v>
      </c>
      <c r="CL235" s="44"/>
    </row>
    <row r="236" spans="32:90" ht="15.75" customHeight="1">
      <c r="AF236" s="4">
        <v>235</v>
      </c>
      <c r="AG236" s="4">
        <v>1</v>
      </c>
      <c r="AH236" s="4">
        <v>1</v>
      </c>
      <c r="AI236" s="4">
        <v>1</v>
      </c>
      <c r="AJ236" t="s">
        <v>2131</v>
      </c>
      <c r="AK236">
        <v>6</v>
      </c>
      <c r="AL236">
        <v>4.5</v>
      </c>
      <c r="AM236">
        <v>3</v>
      </c>
      <c r="AN236">
        <v>1</v>
      </c>
      <c r="AO236">
        <v>19.5</v>
      </c>
      <c r="AP236">
        <v>63</v>
      </c>
      <c r="AQ236">
        <v>5.8</v>
      </c>
      <c r="AS236" s="38">
        <f aca="true" t="shared" si="62" ref="AS236:AS256">IF(C$14&gt;=AQ236,AF236)</f>
        <v>235</v>
      </c>
      <c r="AT236" s="25" t="b">
        <f aca="true" t="shared" si="63" ref="AT236:AT256">IF(C$15=AN236,AF236)</f>
        <v>0</v>
      </c>
      <c r="AU236" s="25" t="b">
        <f aca="true" t="shared" si="64" ref="AU236:AU256">IF(C$16&lt;=AO236,AF236)</f>
        <v>0</v>
      </c>
      <c r="AV236" s="25">
        <f aca="true" t="shared" si="65" ref="AV236:AV256">IF(AI236=BN$10,AF236)</f>
        <v>235</v>
      </c>
      <c r="AW236" s="25" t="b">
        <f aca="true" t="shared" si="66" ref="AW236:AW256">IF(AS236=FALSE,FALSE,IF(AT236=FALSE,FALSE,IF(AU236=FALSE,FALSE,IF(AV236=FALSE,FALSE,AF236))))</f>
        <v>0</v>
      </c>
      <c r="CL236" s="44"/>
    </row>
    <row r="237" spans="32:90" ht="15.75" customHeight="1">
      <c r="AF237" s="4">
        <v>236</v>
      </c>
      <c r="AG237" s="4">
        <v>1</v>
      </c>
      <c r="AH237" s="4">
        <v>1</v>
      </c>
      <c r="AI237" s="4">
        <v>2</v>
      </c>
      <c r="AJ237" t="s">
        <v>2132</v>
      </c>
      <c r="AK237">
        <v>6</v>
      </c>
      <c r="AL237">
        <v>4.5</v>
      </c>
      <c r="AM237">
        <v>3</v>
      </c>
      <c r="AN237">
        <v>20</v>
      </c>
      <c r="AO237">
        <v>17.15</v>
      </c>
      <c r="AP237">
        <v>63</v>
      </c>
      <c r="AQ237">
        <v>6.15</v>
      </c>
      <c r="AS237" s="38">
        <f t="shared" si="62"/>
        <v>236</v>
      </c>
      <c r="AT237" s="25" t="b">
        <f t="shared" si="63"/>
        <v>0</v>
      </c>
      <c r="AU237" s="25" t="b">
        <f t="shared" si="64"/>
        <v>0</v>
      </c>
      <c r="AV237" s="25" t="b">
        <f t="shared" si="65"/>
        <v>0</v>
      </c>
      <c r="AW237" s="25" t="b">
        <f t="shared" si="66"/>
        <v>0</v>
      </c>
      <c r="CL237" s="44"/>
    </row>
    <row r="238" spans="32:90" ht="15.75" customHeight="1">
      <c r="AF238" s="4">
        <v>237</v>
      </c>
      <c r="AG238" s="4">
        <v>1</v>
      </c>
      <c r="AH238" s="4">
        <v>1</v>
      </c>
      <c r="AI238" s="4">
        <v>1</v>
      </c>
      <c r="AJ238" t="s">
        <v>2133</v>
      </c>
      <c r="AK238">
        <v>6</v>
      </c>
      <c r="AL238">
        <v>4.5</v>
      </c>
      <c r="AM238">
        <v>3</v>
      </c>
      <c r="AN238">
        <v>1</v>
      </c>
      <c r="AO238">
        <v>16.5</v>
      </c>
      <c r="AP238">
        <v>63</v>
      </c>
      <c r="AQ238">
        <v>5.8</v>
      </c>
      <c r="AS238" s="38">
        <f t="shared" si="62"/>
        <v>237</v>
      </c>
      <c r="AT238" s="25" t="b">
        <f t="shared" si="63"/>
        <v>0</v>
      </c>
      <c r="AU238" s="25" t="b">
        <f t="shared" si="64"/>
        <v>0</v>
      </c>
      <c r="AV238" s="25">
        <f t="shared" si="65"/>
        <v>237</v>
      </c>
      <c r="AW238" s="25" t="b">
        <f t="shared" si="66"/>
        <v>0</v>
      </c>
      <c r="CL238" s="44"/>
    </row>
    <row r="239" spans="32:90" ht="15.75" customHeight="1">
      <c r="AF239" s="4">
        <v>238</v>
      </c>
      <c r="AG239" s="4">
        <v>1</v>
      </c>
      <c r="AH239" s="4">
        <v>1</v>
      </c>
      <c r="AI239" s="4">
        <v>1</v>
      </c>
      <c r="AJ239" t="s">
        <v>2134</v>
      </c>
      <c r="AK239">
        <v>6</v>
      </c>
      <c r="AL239">
        <v>4.5</v>
      </c>
      <c r="AM239">
        <v>3</v>
      </c>
      <c r="AN239">
        <v>0.75</v>
      </c>
      <c r="AO239">
        <v>16.87</v>
      </c>
      <c r="AP239">
        <v>63</v>
      </c>
      <c r="AQ239">
        <v>5.8</v>
      </c>
      <c r="AS239" s="38">
        <f t="shared" si="62"/>
        <v>238</v>
      </c>
      <c r="AT239" s="25" t="b">
        <f t="shared" si="63"/>
        <v>0</v>
      </c>
      <c r="AU239" s="25" t="b">
        <f t="shared" si="64"/>
        <v>0</v>
      </c>
      <c r="AV239" s="25">
        <f t="shared" si="65"/>
        <v>238</v>
      </c>
      <c r="AW239" s="25" t="b">
        <f t="shared" si="66"/>
        <v>0</v>
      </c>
      <c r="CL239" s="44"/>
    </row>
    <row r="240" spans="32:90" ht="15.75" customHeight="1">
      <c r="AF240" s="4">
        <v>239</v>
      </c>
      <c r="AG240" s="4">
        <v>1</v>
      </c>
      <c r="AH240" s="4">
        <v>1</v>
      </c>
      <c r="AI240" s="4">
        <v>2</v>
      </c>
      <c r="AJ240" t="s">
        <v>2135</v>
      </c>
      <c r="AK240">
        <v>6</v>
      </c>
      <c r="AL240">
        <v>4.5</v>
      </c>
      <c r="AM240">
        <v>3</v>
      </c>
      <c r="AN240">
        <v>20</v>
      </c>
      <c r="AO240">
        <v>14.6</v>
      </c>
      <c r="AP240">
        <v>63</v>
      </c>
      <c r="AQ240">
        <v>6.15</v>
      </c>
      <c r="AS240" s="38">
        <f t="shared" si="62"/>
        <v>239</v>
      </c>
      <c r="AT240" s="25" t="b">
        <f t="shared" si="63"/>
        <v>0</v>
      </c>
      <c r="AU240" s="25" t="b">
        <f t="shared" si="64"/>
        <v>0</v>
      </c>
      <c r="AV240" s="25" t="b">
        <f t="shared" si="65"/>
        <v>0</v>
      </c>
      <c r="AW240" s="25" t="b">
        <f t="shared" si="66"/>
        <v>0</v>
      </c>
      <c r="CL240" s="44"/>
    </row>
    <row r="241" spans="32:90" ht="15.75" customHeight="1">
      <c r="AF241" s="4">
        <v>240</v>
      </c>
      <c r="AG241" s="4">
        <v>1</v>
      </c>
      <c r="AH241" s="4">
        <v>1</v>
      </c>
      <c r="AI241" s="4">
        <v>1</v>
      </c>
      <c r="AJ241" t="s">
        <v>2136</v>
      </c>
      <c r="AK241">
        <v>6</v>
      </c>
      <c r="AL241">
        <v>4.5</v>
      </c>
      <c r="AM241">
        <v>3</v>
      </c>
      <c r="AN241">
        <v>1</v>
      </c>
      <c r="AO241">
        <v>13.5</v>
      </c>
      <c r="AP241">
        <v>63</v>
      </c>
      <c r="AQ241">
        <v>5.8</v>
      </c>
      <c r="AS241" s="38">
        <f t="shared" si="62"/>
        <v>240</v>
      </c>
      <c r="AT241" s="25" t="b">
        <f t="shared" si="63"/>
        <v>0</v>
      </c>
      <c r="AU241" s="25" t="b">
        <f t="shared" si="64"/>
        <v>0</v>
      </c>
      <c r="AV241" s="25">
        <f t="shared" si="65"/>
        <v>240</v>
      </c>
      <c r="AW241" s="25" t="b">
        <f t="shared" si="66"/>
        <v>0</v>
      </c>
      <c r="CL241" s="44"/>
    </row>
    <row r="242" spans="32:90" ht="15.75" customHeight="1">
      <c r="AF242" s="4">
        <v>241</v>
      </c>
      <c r="AG242" s="4">
        <v>1</v>
      </c>
      <c r="AH242" s="4">
        <v>1</v>
      </c>
      <c r="AI242" s="4">
        <v>2</v>
      </c>
      <c r="AJ242" t="s">
        <v>2137</v>
      </c>
      <c r="AK242">
        <v>6</v>
      </c>
      <c r="AL242">
        <v>4.5</v>
      </c>
      <c r="AM242">
        <v>3</v>
      </c>
      <c r="AN242">
        <v>20</v>
      </c>
      <c r="AO242">
        <v>10.8</v>
      </c>
      <c r="AP242">
        <v>63</v>
      </c>
      <c r="AQ242">
        <v>6.15</v>
      </c>
      <c r="AS242" s="38">
        <f t="shared" si="62"/>
        <v>241</v>
      </c>
      <c r="AT242" s="25" t="b">
        <f t="shared" si="63"/>
        <v>0</v>
      </c>
      <c r="AU242" s="25" t="b">
        <f t="shared" si="64"/>
        <v>0</v>
      </c>
      <c r="AV242" s="25" t="b">
        <f t="shared" si="65"/>
        <v>0</v>
      </c>
      <c r="AW242" s="25" t="b">
        <f t="shared" si="66"/>
        <v>0</v>
      </c>
      <c r="CL242" s="44"/>
    </row>
    <row r="243" spans="32:90" ht="15.75" customHeight="1">
      <c r="AF243" s="4">
        <v>242</v>
      </c>
      <c r="AG243" s="4">
        <v>1</v>
      </c>
      <c r="AH243" s="4">
        <v>1</v>
      </c>
      <c r="AI243" s="4">
        <v>1</v>
      </c>
      <c r="AJ243" t="s">
        <v>2138</v>
      </c>
      <c r="AK243">
        <v>6</v>
      </c>
      <c r="AL243">
        <v>4.5</v>
      </c>
      <c r="AM243">
        <v>3</v>
      </c>
      <c r="AN243">
        <v>1</v>
      </c>
      <c r="AO243">
        <v>10.5</v>
      </c>
      <c r="AP243">
        <v>63</v>
      </c>
      <c r="AQ243">
        <v>5.8</v>
      </c>
      <c r="AS243" s="38">
        <f t="shared" si="62"/>
        <v>242</v>
      </c>
      <c r="AT243" s="25" t="b">
        <f t="shared" si="63"/>
        <v>0</v>
      </c>
      <c r="AU243" s="25" t="b">
        <f t="shared" si="64"/>
        <v>0</v>
      </c>
      <c r="AV243" s="25">
        <f t="shared" si="65"/>
        <v>242</v>
      </c>
      <c r="AW243" s="25" t="b">
        <f t="shared" si="66"/>
        <v>0</v>
      </c>
      <c r="CL243" s="44"/>
    </row>
    <row r="244" spans="32:90" ht="15.75" customHeight="1">
      <c r="AF244" s="4">
        <v>243</v>
      </c>
      <c r="AG244" s="4">
        <v>1</v>
      </c>
      <c r="AH244" s="4">
        <v>1</v>
      </c>
      <c r="AI244" s="4">
        <v>1</v>
      </c>
      <c r="AJ244" t="s">
        <v>2139</v>
      </c>
      <c r="AK244">
        <v>6</v>
      </c>
      <c r="AL244">
        <v>4.5</v>
      </c>
      <c r="AM244">
        <v>3</v>
      </c>
      <c r="AN244">
        <v>0.75</v>
      </c>
      <c r="AO244">
        <v>10.87</v>
      </c>
      <c r="AP244">
        <v>63</v>
      </c>
      <c r="AQ244">
        <v>5.8</v>
      </c>
      <c r="AS244" s="38">
        <f t="shared" si="62"/>
        <v>243</v>
      </c>
      <c r="AT244" s="25" t="b">
        <f t="shared" si="63"/>
        <v>0</v>
      </c>
      <c r="AU244" s="25" t="b">
        <f t="shared" si="64"/>
        <v>0</v>
      </c>
      <c r="AV244" s="25">
        <f t="shared" si="65"/>
        <v>243</v>
      </c>
      <c r="AW244" s="25" t="b">
        <f t="shared" si="66"/>
        <v>0</v>
      </c>
      <c r="CL244" s="44"/>
    </row>
    <row r="245" spans="32:90" ht="15.75" customHeight="1">
      <c r="AF245" s="4">
        <v>244</v>
      </c>
      <c r="AG245" s="4">
        <v>1</v>
      </c>
      <c r="AH245" s="4">
        <v>1</v>
      </c>
      <c r="AI245" s="4">
        <v>1</v>
      </c>
      <c r="AJ245" t="s">
        <v>2140</v>
      </c>
      <c r="AK245">
        <v>6</v>
      </c>
      <c r="AL245">
        <v>3</v>
      </c>
      <c r="AM245">
        <v>3</v>
      </c>
      <c r="AN245">
        <v>0.7</v>
      </c>
      <c r="AO245">
        <v>8.75</v>
      </c>
      <c r="AP245">
        <v>63</v>
      </c>
      <c r="AQ245">
        <v>3.8</v>
      </c>
      <c r="AS245" s="38">
        <f t="shared" si="62"/>
        <v>244</v>
      </c>
      <c r="AT245" s="25" t="b">
        <f t="shared" si="63"/>
        <v>0</v>
      </c>
      <c r="AU245" s="25" t="b">
        <f t="shared" si="64"/>
        <v>0</v>
      </c>
      <c r="AV245" s="25">
        <f t="shared" si="65"/>
        <v>244</v>
      </c>
      <c r="AW245" s="25" t="b">
        <f t="shared" si="66"/>
        <v>0</v>
      </c>
      <c r="CL245" s="44"/>
    </row>
    <row r="246" spans="32:90" ht="15.75" customHeight="1">
      <c r="AF246" s="4">
        <v>245</v>
      </c>
      <c r="AG246" s="4">
        <v>1</v>
      </c>
      <c r="AH246" s="4">
        <v>1</v>
      </c>
      <c r="AI246" s="4">
        <v>1</v>
      </c>
      <c r="AJ246" t="s">
        <v>2141</v>
      </c>
      <c r="AK246">
        <v>6</v>
      </c>
      <c r="AL246">
        <v>3</v>
      </c>
      <c r="AM246">
        <v>3</v>
      </c>
      <c r="AN246">
        <v>0.7</v>
      </c>
      <c r="AO246">
        <v>7.35</v>
      </c>
      <c r="AP246">
        <v>63</v>
      </c>
      <c r="AQ246">
        <v>3.8</v>
      </c>
      <c r="AS246" s="38">
        <f t="shared" si="62"/>
        <v>245</v>
      </c>
      <c r="AT246" s="25" t="b">
        <f t="shared" si="63"/>
        <v>0</v>
      </c>
      <c r="AU246" s="25" t="b">
        <f t="shared" si="64"/>
        <v>0</v>
      </c>
      <c r="AV246" s="25">
        <f t="shared" si="65"/>
        <v>245</v>
      </c>
      <c r="AW246" s="25" t="b">
        <f t="shared" si="66"/>
        <v>0</v>
      </c>
      <c r="CL246" s="44"/>
    </row>
    <row r="247" spans="32:49" ht="15.75" customHeight="1">
      <c r="AF247" s="4">
        <v>246</v>
      </c>
      <c r="AG247" s="4">
        <v>1</v>
      </c>
      <c r="AH247" s="4">
        <v>1</v>
      </c>
      <c r="AI247" s="4">
        <v>1</v>
      </c>
      <c r="AJ247" t="s">
        <v>2142</v>
      </c>
      <c r="AK247">
        <v>6</v>
      </c>
      <c r="AL247">
        <v>3</v>
      </c>
      <c r="AM247">
        <v>3</v>
      </c>
      <c r="AN247">
        <v>0.7</v>
      </c>
      <c r="AO247">
        <v>10.85</v>
      </c>
      <c r="AP247">
        <v>63</v>
      </c>
      <c r="AQ247">
        <v>3.8</v>
      </c>
      <c r="AS247" s="38">
        <f t="shared" si="62"/>
        <v>246</v>
      </c>
      <c r="AT247" s="25" t="b">
        <f t="shared" si="63"/>
        <v>0</v>
      </c>
      <c r="AU247" s="25" t="b">
        <f t="shared" si="64"/>
        <v>0</v>
      </c>
      <c r="AV247" s="25">
        <f t="shared" si="65"/>
        <v>246</v>
      </c>
      <c r="AW247" s="25" t="b">
        <f t="shared" si="66"/>
        <v>0</v>
      </c>
    </row>
    <row r="248" spans="32:49" ht="15.75" customHeight="1">
      <c r="AF248" s="4">
        <v>247</v>
      </c>
      <c r="AG248" s="4">
        <v>1</v>
      </c>
      <c r="AH248" s="4">
        <v>1</v>
      </c>
      <c r="AI248" s="4">
        <v>1</v>
      </c>
      <c r="AJ248" t="s">
        <v>2143</v>
      </c>
      <c r="AK248">
        <v>6</v>
      </c>
      <c r="AL248">
        <v>3.8</v>
      </c>
      <c r="AM248">
        <v>3</v>
      </c>
      <c r="AN248">
        <v>0.8</v>
      </c>
      <c r="AO248">
        <v>8.4</v>
      </c>
      <c r="AP248">
        <v>63</v>
      </c>
      <c r="AQ248">
        <v>4.8</v>
      </c>
      <c r="AS248" s="38">
        <f t="shared" si="62"/>
        <v>247</v>
      </c>
      <c r="AT248" s="25" t="b">
        <f t="shared" si="63"/>
        <v>0</v>
      </c>
      <c r="AU248" s="25" t="b">
        <f t="shared" si="64"/>
        <v>0</v>
      </c>
      <c r="AV248" s="25">
        <f t="shared" si="65"/>
        <v>247</v>
      </c>
      <c r="AW248" s="25" t="b">
        <f t="shared" si="66"/>
        <v>0</v>
      </c>
    </row>
    <row r="249" spans="32:49" ht="15.75" customHeight="1">
      <c r="AF249" s="4">
        <v>248</v>
      </c>
      <c r="AG249" s="4">
        <v>1</v>
      </c>
      <c r="AH249" s="4">
        <v>1</v>
      </c>
      <c r="AI249" s="4">
        <v>1</v>
      </c>
      <c r="AJ249" t="s">
        <v>2144</v>
      </c>
      <c r="AK249">
        <v>6</v>
      </c>
      <c r="AL249">
        <v>3.8</v>
      </c>
      <c r="AM249">
        <v>3</v>
      </c>
      <c r="AN249">
        <v>0.8</v>
      </c>
      <c r="AO249">
        <v>13.2</v>
      </c>
      <c r="AP249">
        <v>63</v>
      </c>
      <c r="AQ249">
        <v>4.8</v>
      </c>
      <c r="AS249" s="38">
        <f t="shared" si="62"/>
        <v>248</v>
      </c>
      <c r="AT249" s="25" t="b">
        <f t="shared" si="63"/>
        <v>0</v>
      </c>
      <c r="AU249" s="25" t="b">
        <f t="shared" si="64"/>
        <v>0</v>
      </c>
      <c r="AV249" s="25">
        <f t="shared" si="65"/>
        <v>248</v>
      </c>
      <c r="AW249" s="25" t="b">
        <f t="shared" si="66"/>
        <v>0</v>
      </c>
    </row>
    <row r="250" spans="32:49" ht="15.75" customHeight="1">
      <c r="AF250" s="4">
        <v>249</v>
      </c>
      <c r="AG250" s="4">
        <v>1</v>
      </c>
      <c r="AH250" s="4">
        <v>1</v>
      </c>
      <c r="AI250" s="4">
        <v>1</v>
      </c>
      <c r="AJ250" t="s">
        <v>2145</v>
      </c>
      <c r="AK250">
        <v>6</v>
      </c>
      <c r="AL250">
        <v>3.8</v>
      </c>
      <c r="AM250">
        <v>3</v>
      </c>
      <c r="AN250">
        <v>0.8</v>
      </c>
      <c r="AO250">
        <v>10.8</v>
      </c>
      <c r="AP250">
        <v>63</v>
      </c>
      <c r="AQ250">
        <v>4.8</v>
      </c>
      <c r="AS250" s="38">
        <f t="shared" si="62"/>
        <v>249</v>
      </c>
      <c r="AT250" s="25" t="b">
        <f t="shared" si="63"/>
        <v>0</v>
      </c>
      <c r="AU250" s="25" t="b">
        <f t="shared" si="64"/>
        <v>0</v>
      </c>
      <c r="AV250" s="25">
        <f t="shared" si="65"/>
        <v>249</v>
      </c>
      <c r="AW250" s="25" t="b">
        <f t="shared" si="66"/>
        <v>0</v>
      </c>
    </row>
    <row r="251" spans="32:49" ht="15.75" customHeight="1">
      <c r="AF251" s="4">
        <v>250</v>
      </c>
      <c r="AG251" s="4">
        <v>1</v>
      </c>
      <c r="AH251" s="4">
        <v>1</v>
      </c>
      <c r="AI251" s="4">
        <v>1</v>
      </c>
      <c r="AJ251" t="s">
        <v>2146</v>
      </c>
      <c r="AK251">
        <v>6</v>
      </c>
      <c r="AL251">
        <v>3.8</v>
      </c>
      <c r="AM251">
        <v>3</v>
      </c>
      <c r="AN251">
        <v>0.5</v>
      </c>
      <c r="AO251">
        <v>10.75</v>
      </c>
      <c r="AP251">
        <v>63</v>
      </c>
      <c r="AQ251">
        <v>4.8</v>
      </c>
      <c r="AS251" s="38">
        <f t="shared" si="62"/>
        <v>250</v>
      </c>
      <c r="AT251" s="25" t="b">
        <f t="shared" si="63"/>
        <v>0</v>
      </c>
      <c r="AU251" s="25" t="b">
        <f t="shared" si="64"/>
        <v>0</v>
      </c>
      <c r="AV251" s="25">
        <f t="shared" si="65"/>
        <v>250</v>
      </c>
      <c r="AW251" s="25" t="b">
        <f t="shared" si="66"/>
        <v>0</v>
      </c>
    </row>
    <row r="252" spans="32:49" ht="15.75" customHeight="1">
      <c r="AF252" s="4">
        <v>251</v>
      </c>
      <c r="AG252" s="4">
        <v>1</v>
      </c>
      <c r="AH252" s="4">
        <v>1</v>
      </c>
      <c r="AI252" s="4">
        <v>1</v>
      </c>
      <c r="AJ252" t="s">
        <v>2147</v>
      </c>
      <c r="AK252">
        <v>6</v>
      </c>
      <c r="AL252">
        <v>2.3</v>
      </c>
      <c r="AM252">
        <v>3</v>
      </c>
      <c r="AN252">
        <v>0.5</v>
      </c>
      <c r="AO252">
        <v>8.25</v>
      </c>
      <c r="AP252">
        <v>63</v>
      </c>
      <c r="AQ252">
        <v>2.8</v>
      </c>
      <c r="AS252" s="38">
        <f t="shared" si="62"/>
        <v>251</v>
      </c>
      <c r="AT252" s="25" t="b">
        <f t="shared" si="63"/>
        <v>0</v>
      </c>
      <c r="AU252" s="25" t="b">
        <f t="shared" si="64"/>
        <v>0</v>
      </c>
      <c r="AV252" s="25">
        <f t="shared" si="65"/>
        <v>251</v>
      </c>
      <c r="AW252" s="25" t="b">
        <f t="shared" si="66"/>
        <v>0</v>
      </c>
    </row>
    <row r="253" spans="32:49" ht="15.75" customHeight="1">
      <c r="AF253" s="4">
        <v>252</v>
      </c>
      <c r="AG253" s="4">
        <v>1</v>
      </c>
      <c r="AH253" s="4">
        <v>1</v>
      </c>
      <c r="AI253" s="4">
        <v>1</v>
      </c>
      <c r="AJ253" t="s">
        <v>2148</v>
      </c>
      <c r="AK253">
        <v>6</v>
      </c>
      <c r="AL253">
        <v>2.3</v>
      </c>
      <c r="AM253">
        <v>3</v>
      </c>
      <c r="AN253">
        <v>0.5</v>
      </c>
      <c r="AO253">
        <v>6.75</v>
      </c>
      <c r="AP253">
        <v>63</v>
      </c>
      <c r="AQ253">
        <v>2.8</v>
      </c>
      <c r="AS253" s="38">
        <f t="shared" si="62"/>
        <v>252</v>
      </c>
      <c r="AT253" s="25" t="b">
        <f t="shared" si="63"/>
        <v>0</v>
      </c>
      <c r="AU253" s="25" t="b">
        <f t="shared" si="64"/>
        <v>0</v>
      </c>
      <c r="AV253" s="25">
        <f t="shared" si="65"/>
        <v>252</v>
      </c>
      <c r="AW253" s="25" t="b">
        <f t="shared" si="66"/>
        <v>0</v>
      </c>
    </row>
    <row r="254" spans="32:49" ht="15.75" customHeight="1">
      <c r="AF254" s="4">
        <v>253</v>
      </c>
      <c r="AG254" s="4">
        <v>1</v>
      </c>
      <c r="AH254" s="4">
        <v>1</v>
      </c>
      <c r="AI254" s="4">
        <v>1</v>
      </c>
      <c r="AJ254" t="s">
        <v>2149</v>
      </c>
      <c r="AK254">
        <v>6</v>
      </c>
      <c r="AL254">
        <v>2.3</v>
      </c>
      <c r="AM254">
        <v>3</v>
      </c>
      <c r="AN254">
        <v>0.5</v>
      </c>
      <c r="AO254">
        <v>5.25</v>
      </c>
      <c r="AP254">
        <v>63</v>
      </c>
      <c r="AQ254">
        <v>2.8</v>
      </c>
      <c r="AS254" s="38">
        <f t="shared" si="62"/>
        <v>253</v>
      </c>
      <c r="AT254" s="25" t="b">
        <f t="shared" si="63"/>
        <v>0</v>
      </c>
      <c r="AU254" s="25" t="b">
        <f t="shared" si="64"/>
        <v>0</v>
      </c>
      <c r="AV254" s="25">
        <f t="shared" si="65"/>
        <v>253</v>
      </c>
      <c r="AW254" s="25" t="b">
        <f t="shared" si="66"/>
        <v>0</v>
      </c>
    </row>
    <row r="255" spans="32:49" ht="15.75" customHeight="1">
      <c r="AF255" s="4">
        <v>254</v>
      </c>
      <c r="AG255" s="4">
        <v>1</v>
      </c>
      <c r="AH255" s="4">
        <v>1</v>
      </c>
      <c r="AI255" s="4">
        <v>2</v>
      </c>
      <c r="AJ255" t="s">
        <v>2150</v>
      </c>
      <c r="AK255">
        <v>4</v>
      </c>
      <c r="AL255">
        <v>4</v>
      </c>
      <c r="AM255">
        <v>3</v>
      </c>
      <c r="AN255">
        <v>28</v>
      </c>
      <c r="AO255">
        <v>9.52</v>
      </c>
      <c r="AP255">
        <v>50</v>
      </c>
      <c r="AQ255">
        <v>5.286</v>
      </c>
      <c r="AS255" s="38">
        <f t="shared" si="62"/>
        <v>254</v>
      </c>
      <c r="AT255" s="25" t="b">
        <f t="shared" si="63"/>
        <v>0</v>
      </c>
      <c r="AU255" s="25" t="b">
        <f t="shared" si="64"/>
        <v>0</v>
      </c>
      <c r="AV255" s="25" t="b">
        <f t="shared" si="65"/>
        <v>0</v>
      </c>
      <c r="AW255" s="25" t="b">
        <f t="shared" si="66"/>
        <v>0</v>
      </c>
    </row>
    <row r="256" spans="32:49" ht="15.75" customHeight="1">
      <c r="AF256" s="4">
        <v>255</v>
      </c>
      <c r="AG256" s="4">
        <v>1</v>
      </c>
      <c r="AH256" s="4">
        <v>1</v>
      </c>
      <c r="AI256" s="4">
        <v>2</v>
      </c>
      <c r="AJ256" t="s">
        <v>2151</v>
      </c>
      <c r="AK256">
        <v>4</v>
      </c>
      <c r="AL256">
        <v>4</v>
      </c>
      <c r="AM256">
        <v>3</v>
      </c>
      <c r="AN256">
        <v>24</v>
      </c>
      <c r="AO256">
        <v>15.35</v>
      </c>
      <c r="AP256">
        <v>50</v>
      </c>
      <c r="AQ256">
        <v>5.286</v>
      </c>
      <c r="AS256" s="38">
        <f t="shared" si="62"/>
        <v>255</v>
      </c>
      <c r="AT256" s="25" t="b">
        <f t="shared" si="63"/>
        <v>0</v>
      </c>
      <c r="AU256" s="25" t="b">
        <f t="shared" si="64"/>
        <v>0</v>
      </c>
      <c r="AV256" s="25" t="b">
        <f t="shared" si="65"/>
        <v>0</v>
      </c>
      <c r="AW256" s="25" t="b">
        <f t="shared" si="66"/>
        <v>0</v>
      </c>
    </row>
    <row r="257" spans="32:49" ht="15.75" customHeight="1">
      <c r="AF257" s="4">
        <v>256</v>
      </c>
      <c r="AG257" s="4">
        <v>1</v>
      </c>
      <c r="AH257" s="4">
        <v>1</v>
      </c>
      <c r="AI257" s="4">
        <v>2</v>
      </c>
      <c r="AJ257" t="s">
        <v>2152</v>
      </c>
      <c r="AK257">
        <v>4</v>
      </c>
      <c r="AL257">
        <v>4</v>
      </c>
      <c r="AM257">
        <v>3</v>
      </c>
      <c r="AN257">
        <v>28</v>
      </c>
      <c r="AO257">
        <v>12.25</v>
      </c>
      <c r="AP257">
        <v>50</v>
      </c>
      <c r="AQ257">
        <v>5.286</v>
      </c>
      <c r="AS257" s="38">
        <f aca="true" t="shared" si="67" ref="AS257:AS300">IF(C$14&gt;=AQ257,AF257)</f>
        <v>256</v>
      </c>
      <c r="AT257" s="25" t="b">
        <f aca="true" t="shared" si="68" ref="AT257:AT300">IF(C$15=AN257,AF257)</f>
        <v>0</v>
      </c>
      <c r="AU257" s="25" t="b">
        <f aca="true" t="shared" si="69" ref="AU257:AU300">IF(C$16&lt;=AO257,AF257)</f>
        <v>0</v>
      </c>
      <c r="AV257" s="25" t="b">
        <f aca="true" t="shared" si="70" ref="AV257:AV300">IF(AI257=BN$10,AF257)</f>
        <v>0</v>
      </c>
      <c r="AW257" s="25" t="b">
        <f aca="true" t="shared" si="71" ref="AW257:AW300">IF(AS257=FALSE,FALSE,IF(AT257=FALSE,FALSE,IF(AU257=FALSE,FALSE,IF(AV257=FALSE,FALSE,AF257))))</f>
        <v>0</v>
      </c>
    </row>
    <row r="258" spans="32:49" ht="15.75" customHeight="1">
      <c r="AF258" s="4">
        <v>257</v>
      </c>
      <c r="AG258" s="4">
        <v>1</v>
      </c>
      <c r="AH258" s="4">
        <v>1</v>
      </c>
      <c r="AI258" s="4">
        <v>2</v>
      </c>
      <c r="AJ258" t="s">
        <v>2153</v>
      </c>
      <c r="AK258">
        <v>4</v>
      </c>
      <c r="AL258">
        <v>4</v>
      </c>
      <c r="AM258">
        <v>3</v>
      </c>
      <c r="AN258">
        <v>24</v>
      </c>
      <c r="AO258">
        <v>12.17</v>
      </c>
      <c r="AP258">
        <v>50</v>
      </c>
      <c r="AQ258">
        <v>5.286</v>
      </c>
      <c r="AS258" s="38">
        <f t="shared" si="67"/>
        <v>257</v>
      </c>
      <c r="AT258" s="25" t="b">
        <f t="shared" si="68"/>
        <v>0</v>
      </c>
      <c r="AU258" s="25" t="b">
        <f t="shared" si="69"/>
        <v>0</v>
      </c>
      <c r="AV258" s="25" t="b">
        <f t="shared" si="70"/>
        <v>0</v>
      </c>
      <c r="AW258" s="25" t="b">
        <f t="shared" si="71"/>
        <v>0</v>
      </c>
    </row>
    <row r="259" spans="32:49" ht="15.75" customHeight="1">
      <c r="AF259" s="4">
        <v>258</v>
      </c>
      <c r="AG259" s="4">
        <v>1</v>
      </c>
      <c r="AH259" s="4">
        <v>1</v>
      </c>
      <c r="AI259" s="4">
        <v>2</v>
      </c>
      <c r="AJ259" t="s">
        <v>2154</v>
      </c>
      <c r="AK259">
        <v>4</v>
      </c>
      <c r="AL259">
        <v>4</v>
      </c>
      <c r="AM259">
        <v>3</v>
      </c>
      <c r="AN259">
        <v>24</v>
      </c>
      <c r="AO259">
        <v>10.05</v>
      </c>
      <c r="AP259">
        <v>50</v>
      </c>
      <c r="AQ259">
        <v>5.286</v>
      </c>
      <c r="AS259" s="38">
        <f t="shared" si="67"/>
        <v>258</v>
      </c>
      <c r="AT259" s="25" t="b">
        <f t="shared" si="68"/>
        <v>0</v>
      </c>
      <c r="AU259" s="25" t="b">
        <f t="shared" si="69"/>
        <v>0</v>
      </c>
      <c r="AV259" s="25" t="b">
        <f t="shared" si="70"/>
        <v>0</v>
      </c>
      <c r="AW259" s="25" t="b">
        <f t="shared" si="71"/>
        <v>0</v>
      </c>
    </row>
    <row r="260" spans="32:49" ht="15.75" customHeight="1">
      <c r="AF260" s="4">
        <v>259</v>
      </c>
      <c r="AG260" s="4">
        <v>1</v>
      </c>
      <c r="AH260" s="4">
        <v>1</v>
      </c>
      <c r="AI260" s="4">
        <v>2</v>
      </c>
      <c r="AJ260" t="s">
        <v>2155</v>
      </c>
      <c r="AK260">
        <v>4</v>
      </c>
      <c r="AL260">
        <v>3</v>
      </c>
      <c r="AM260">
        <v>3</v>
      </c>
      <c r="AN260">
        <v>32</v>
      </c>
      <c r="AO260">
        <v>9.13</v>
      </c>
      <c r="AP260">
        <v>50</v>
      </c>
      <c r="AQ260">
        <v>3.966</v>
      </c>
      <c r="AS260" s="38">
        <f t="shared" si="67"/>
        <v>259</v>
      </c>
      <c r="AT260" s="25" t="b">
        <f t="shared" si="68"/>
        <v>0</v>
      </c>
      <c r="AU260" s="25" t="b">
        <f t="shared" si="69"/>
        <v>0</v>
      </c>
      <c r="AV260" s="25" t="b">
        <f t="shared" si="70"/>
        <v>0</v>
      </c>
      <c r="AW260" s="25" t="b">
        <f t="shared" si="71"/>
        <v>0</v>
      </c>
    </row>
    <row r="261" spans="32:49" ht="15.75" customHeight="1">
      <c r="AF261" s="4">
        <v>260</v>
      </c>
      <c r="AG261" s="4">
        <v>1</v>
      </c>
      <c r="AH261" s="4">
        <v>1</v>
      </c>
      <c r="AI261" s="4">
        <v>1</v>
      </c>
      <c r="AJ261" t="s">
        <v>2156</v>
      </c>
      <c r="AK261">
        <v>4</v>
      </c>
      <c r="AL261">
        <v>3</v>
      </c>
      <c r="AM261">
        <v>3</v>
      </c>
      <c r="AN261">
        <v>0.7</v>
      </c>
      <c r="AO261">
        <v>8.75</v>
      </c>
      <c r="AP261">
        <v>50</v>
      </c>
      <c r="AQ261">
        <v>3.8</v>
      </c>
      <c r="AS261" s="38">
        <f t="shared" si="67"/>
        <v>260</v>
      </c>
      <c r="AT261" s="25" t="b">
        <f t="shared" si="68"/>
        <v>0</v>
      </c>
      <c r="AU261" s="25" t="b">
        <f t="shared" si="69"/>
        <v>0</v>
      </c>
      <c r="AV261" s="25">
        <f t="shared" si="70"/>
        <v>260</v>
      </c>
      <c r="AW261" s="25" t="b">
        <f t="shared" si="71"/>
        <v>0</v>
      </c>
    </row>
    <row r="262" spans="32:49" ht="15.75" customHeight="1">
      <c r="AF262" s="4">
        <v>261</v>
      </c>
      <c r="AG262" s="4">
        <v>1</v>
      </c>
      <c r="AH262" s="4">
        <v>1</v>
      </c>
      <c r="AI262" s="4">
        <v>2</v>
      </c>
      <c r="AJ262" t="s">
        <v>2157</v>
      </c>
      <c r="AK262">
        <v>4</v>
      </c>
      <c r="AL262">
        <v>3</v>
      </c>
      <c r="AM262">
        <v>3</v>
      </c>
      <c r="AN262">
        <v>32</v>
      </c>
      <c r="AO262">
        <v>7.54</v>
      </c>
      <c r="AP262">
        <v>50</v>
      </c>
      <c r="AQ262">
        <v>3.966</v>
      </c>
      <c r="AS262" s="38">
        <f t="shared" si="67"/>
        <v>261</v>
      </c>
      <c r="AT262" s="25" t="b">
        <f t="shared" si="68"/>
        <v>0</v>
      </c>
      <c r="AU262" s="25" t="b">
        <f t="shared" si="69"/>
        <v>0</v>
      </c>
      <c r="AV262" s="25" t="b">
        <f t="shared" si="70"/>
        <v>0</v>
      </c>
      <c r="AW262" s="25" t="b">
        <f t="shared" si="71"/>
        <v>0</v>
      </c>
    </row>
    <row r="263" spans="32:49" ht="15.75" customHeight="1">
      <c r="AF263" s="4">
        <v>262</v>
      </c>
      <c r="AG263" s="4">
        <v>1</v>
      </c>
      <c r="AH263" s="4">
        <v>1</v>
      </c>
      <c r="AI263" s="4">
        <v>1</v>
      </c>
      <c r="AJ263" t="s">
        <v>2158</v>
      </c>
      <c r="AK263">
        <v>4</v>
      </c>
      <c r="AL263">
        <v>3</v>
      </c>
      <c r="AM263">
        <v>3</v>
      </c>
      <c r="AN263">
        <v>0.7</v>
      </c>
      <c r="AO263">
        <v>7.35</v>
      </c>
      <c r="AP263">
        <v>50</v>
      </c>
      <c r="AQ263">
        <v>3.8</v>
      </c>
      <c r="AS263" s="38">
        <f t="shared" si="67"/>
        <v>262</v>
      </c>
      <c r="AT263" s="25" t="b">
        <f t="shared" si="68"/>
        <v>0</v>
      </c>
      <c r="AU263" s="25" t="b">
        <f t="shared" si="69"/>
        <v>0</v>
      </c>
      <c r="AV263" s="25">
        <f t="shared" si="70"/>
        <v>262</v>
      </c>
      <c r="AW263" s="25" t="b">
        <f t="shared" si="71"/>
        <v>0</v>
      </c>
    </row>
    <row r="264" spans="32:49" ht="15.75" customHeight="1">
      <c r="AF264" s="4">
        <v>263</v>
      </c>
      <c r="AG264" s="4">
        <v>1</v>
      </c>
      <c r="AH264" s="4">
        <v>1</v>
      </c>
      <c r="AI264" s="4">
        <v>2</v>
      </c>
      <c r="AJ264" t="s">
        <v>2159</v>
      </c>
      <c r="AK264">
        <v>4</v>
      </c>
      <c r="AL264">
        <v>3</v>
      </c>
      <c r="AM264">
        <v>3</v>
      </c>
      <c r="AN264">
        <v>32</v>
      </c>
      <c r="AO264">
        <v>11.51</v>
      </c>
      <c r="AP264">
        <v>50</v>
      </c>
      <c r="AQ264">
        <v>3.966</v>
      </c>
      <c r="AS264" s="38">
        <f t="shared" si="67"/>
        <v>263</v>
      </c>
      <c r="AT264" s="25" t="b">
        <f t="shared" si="68"/>
        <v>0</v>
      </c>
      <c r="AU264" s="25" t="b">
        <f t="shared" si="69"/>
        <v>0</v>
      </c>
      <c r="AV264" s="25" t="b">
        <f t="shared" si="70"/>
        <v>0</v>
      </c>
      <c r="AW264" s="25" t="b">
        <f t="shared" si="71"/>
        <v>0</v>
      </c>
    </row>
    <row r="265" spans="32:49" ht="15.75" customHeight="1">
      <c r="AF265" s="4">
        <v>264</v>
      </c>
      <c r="AG265" s="4">
        <v>1</v>
      </c>
      <c r="AH265" s="4">
        <v>1</v>
      </c>
      <c r="AI265" s="4">
        <v>1</v>
      </c>
      <c r="AJ265" t="s">
        <v>2160</v>
      </c>
      <c r="AK265">
        <v>4</v>
      </c>
      <c r="AL265">
        <v>3</v>
      </c>
      <c r="AM265">
        <v>3</v>
      </c>
      <c r="AN265">
        <v>0.7</v>
      </c>
      <c r="AO265">
        <v>10.85</v>
      </c>
      <c r="AP265">
        <v>50</v>
      </c>
      <c r="AQ265">
        <v>3.8</v>
      </c>
      <c r="AS265" s="38">
        <f t="shared" si="67"/>
        <v>264</v>
      </c>
      <c r="AT265" s="25" t="b">
        <f t="shared" si="68"/>
        <v>0</v>
      </c>
      <c r="AU265" s="25" t="b">
        <f t="shared" si="69"/>
        <v>0</v>
      </c>
      <c r="AV265" s="25">
        <f t="shared" si="70"/>
        <v>264</v>
      </c>
      <c r="AW265" s="25" t="b">
        <f t="shared" si="71"/>
        <v>0</v>
      </c>
    </row>
    <row r="266" spans="32:49" ht="15.75" customHeight="1">
      <c r="AF266" s="4">
        <v>265</v>
      </c>
      <c r="AG266" s="4">
        <v>1</v>
      </c>
      <c r="AH266" s="4">
        <v>1</v>
      </c>
      <c r="AI266" s="4">
        <v>2</v>
      </c>
      <c r="AJ266" t="s">
        <v>2161</v>
      </c>
      <c r="AK266">
        <v>4</v>
      </c>
      <c r="AL266">
        <v>3.8</v>
      </c>
      <c r="AM266">
        <v>3</v>
      </c>
      <c r="AN266">
        <v>24</v>
      </c>
      <c r="AO266">
        <v>9</v>
      </c>
      <c r="AP266">
        <v>50</v>
      </c>
      <c r="AQ266">
        <v>4.626</v>
      </c>
      <c r="AS266" s="38">
        <f t="shared" si="67"/>
        <v>265</v>
      </c>
      <c r="AT266" s="25" t="b">
        <f t="shared" si="68"/>
        <v>0</v>
      </c>
      <c r="AU266" s="25" t="b">
        <f t="shared" si="69"/>
        <v>0</v>
      </c>
      <c r="AV266" s="25" t="b">
        <f t="shared" si="70"/>
        <v>0</v>
      </c>
      <c r="AW266" s="25" t="b">
        <f t="shared" si="71"/>
        <v>0</v>
      </c>
    </row>
    <row r="267" spans="32:49" ht="15.75" customHeight="1">
      <c r="AF267" s="4">
        <v>266</v>
      </c>
      <c r="AG267" s="4">
        <v>1</v>
      </c>
      <c r="AH267" s="4">
        <v>1</v>
      </c>
      <c r="AI267" s="4">
        <v>1</v>
      </c>
      <c r="AJ267" t="s">
        <v>2162</v>
      </c>
      <c r="AK267">
        <v>4</v>
      </c>
      <c r="AL267">
        <v>3.8</v>
      </c>
      <c r="AM267">
        <v>3</v>
      </c>
      <c r="AN267">
        <v>0.8</v>
      </c>
      <c r="AO267">
        <v>8.4</v>
      </c>
      <c r="AP267">
        <v>50</v>
      </c>
      <c r="AQ267">
        <v>4.8</v>
      </c>
      <c r="AS267" s="38">
        <f t="shared" si="67"/>
        <v>266</v>
      </c>
      <c r="AT267" s="25" t="b">
        <f t="shared" si="68"/>
        <v>0</v>
      </c>
      <c r="AU267" s="25" t="b">
        <f t="shared" si="69"/>
        <v>0</v>
      </c>
      <c r="AV267" s="25">
        <f t="shared" si="70"/>
        <v>266</v>
      </c>
      <c r="AW267" s="25" t="b">
        <f t="shared" si="71"/>
        <v>0</v>
      </c>
    </row>
    <row r="268" spans="32:49" ht="15.75" customHeight="1">
      <c r="AF268" s="4">
        <v>267</v>
      </c>
      <c r="AG268" s="4">
        <v>1</v>
      </c>
      <c r="AH268" s="4">
        <v>1</v>
      </c>
      <c r="AI268" s="4">
        <v>2</v>
      </c>
      <c r="AJ268" t="s">
        <v>2163</v>
      </c>
      <c r="AK268">
        <v>4</v>
      </c>
      <c r="AL268">
        <v>3.8</v>
      </c>
      <c r="AM268">
        <v>3</v>
      </c>
      <c r="AN268">
        <v>24</v>
      </c>
      <c r="AO268">
        <v>13.23</v>
      </c>
      <c r="AP268">
        <v>50</v>
      </c>
      <c r="AQ268">
        <v>4.626</v>
      </c>
      <c r="AS268" s="38">
        <f t="shared" si="67"/>
        <v>267</v>
      </c>
      <c r="AT268" s="25" t="b">
        <f t="shared" si="68"/>
        <v>0</v>
      </c>
      <c r="AU268" s="25" t="b">
        <f t="shared" si="69"/>
        <v>0</v>
      </c>
      <c r="AV268" s="25" t="b">
        <f t="shared" si="70"/>
        <v>0</v>
      </c>
      <c r="AW268" s="25" t="b">
        <f t="shared" si="71"/>
        <v>0</v>
      </c>
    </row>
    <row r="269" spans="32:49" ht="15.75" customHeight="1">
      <c r="AF269" s="4">
        <v>268</v>
      </c>
      <c r="AG269" s="4">
        <v>1</v>
      </c>
      <c r="AH269" s="4">
        <v>1</v>
      </c>
      <c r="AI269" s="4">
        <v>1</v>
      </c>
      <c r="AJ269" t="s">
        <v>2164</v>
      </c>
      <c r="AK269">
        <v>4</v>
      </c>
      <c r="AL269">
        <v>3.8</v>
      </c>
      <c r="AM269">
        <v>3</v>
      </c>
      <c r="AN269">
        <v>0.8</v>
      </c>
      <c r="AO269">
        <v>13.2</v>
      </c>
      <c r="AP269">
        <v>50</v>
      </c>
      <c r="AQ269">
        <v>4.8</v>
      </c>
      <c r="AS269" s="38">
        <f t="shared" si="67"/>
        <v>268</v>
      </c>
      <c r="AT269" s="25" t="b">
        <f t="shared" si="68"/>
        <v>0</v>
      </c>
      <c r="AU269" s="25" t="b">
        <f t="shared" si="69"/>
        <v>0</v>
      </c>
      <c r="AV269" s="25">
        <f t="shared" si="70"/>
        <v>268</v>
      </c>
      <c r="AW269" s="25" t="b">
        <f t="shared" si="71"/>
        <v>0</v>
      </c>
    </row>
    <row r="270" spans="32:49" ht="15.75" customHeight="1">
      <c r="AF270" s="4">
        <v>269</v>
      </c>
      <c r="AG270" s="4">
        <v>1</v>
      </c>
      <c r="AH270" s="4">
        <v>1</v>
      </c>
      <c r="AI270" s="4">
        <v>2</v>
      </c>
      <c r="AJ270" t="s">
        <v>2165</v>
      </c>
      <c r="AK270">
        <v>4</v>
      </c>
      <c r="AL270">
        <v>3.8</v>
      </c>
      <c r="AM270">
        <v>3</v>
      </c>
      <c r="AN270">
        <v>24</v>
      </c>
      <c r="AO270">
        <v>11.11</v>
      </c>
      <c r="AP270">
        <v>50</v>
      </c>
      <c r="AQ270">
        <v>4.626</v>
      </c>
      <c r="AS270" s="38">
        <f t="shared" si="67"/>
        <v>269</v>
      </c>
      <c r="AT270" s="25" t="b">
        <f t="shared" si="68"/>
        <v>0</v>
      </c>
      <c r="AU270" s="25" t="b">
        <f t="shared" si="69"/>
        <v>0</v>
      </c>
      <c r="AV270" s="25" t="b">
        <f t="shared" si="70"/>
        <v>0</v>
      </c>
      <c r="AW270" s="25" t="b">
        <f t="shared" si="71"/>
        <v>0</v>
      </c>
    </row>
    <row r="271" spans="32:49" ht="15.75" customHeight="1">
      <c r="AF271" s="4">
        <v>270</v>
      </c>
      <c r="AG271" s="4">
        <v>1</v>
      </c>
      <c r="AH271" s="4">
        <v>1</v>
      </c>
      <c r="AI271" s="4">
        <v>1</v>
      </c>
      <c r="AJ271" t="s">
        <v>2166</v>
      </c>
      <c r="AK271">
        <v>4</v>
      </c>
      <c r="AL271">
        <v>3.8</v>
      </c>
      <c r="AM271">
        <v>3</v>
      </c>
      <c r="AN271">
        <v>0.8</v>
      </c>
      <c r="AO271">
        <v>10.8</v>
      </c>
      <c r="AP271">
        <v>50</v>
      </c>
      <c r="AQ271">
        <v>4.8</v>
      </c>
      <c r="AS271" s="38">
        <f t="shared" si="67"/>
        <v>270</v>
      </c>
      <c r="AT271" s="25" t="b">
        <f t="shared" si="68"/>
        <v>0</v>
      </c>
      <c r="AU271" s="25" t="b">
        <f t="shared" si="69"/>
        <v>0</v>
      </c>
      <c r="AV271" s="25">
        <f t="shared" si="70"/>
        <v>270</v>
      </c>
      <c r="AW271" s="25" t="b">
        <f t="shared" si="71"/>
        <v>0</v>
      </c>
    </row>
    <row r="272" spans="32:49" ht="15.75" customHeight="1">
      <c r="AF272" s="4">
        <v>271</v>
      </c>
      <c r="AG272" s="4">
        <v>1</v>
      </c>
      <c r="AH272" s="4">
        <v>1</v>
      </c>
      <c r="AI272" s="4">
        <v>1</v>
      </c>
      <c r="AJ272" t="s">
        <v>2167</v>
      </c>
      <c r="AK272">
        <v>4</v>
      </c>
      <c r="AL272">
        <v>3.8</v>
      </c>
      <c r="AM272">
        <v>3</v>
      </c>
      <c r="AN272">
        <v>0.5</v>
      </c>
      <c r="AO272">
        <v>10.75</v>
      </c>
      <c r="AP272">
        <v>50</v>
      </c>
      <c r="AQ272">
        <v>4.8</v>
      </c>
      <c r="AS272" s="38">
        <f t="shared" si="67"/>
        <v>271</v>
      </c>
      <c r="AT272" s="25" t="b">
        <f t="shared" si="68"/>
        <v>0</v>
      </c>
      <c r="AU272" s="25" t="b">
        <f t="shared" si="69"/>
        <v>0</v>
      </c>
      <c r="AV272" s="25">
        <f t="shared" si="70"/>
        <v>271</v>
      </c>
      <c r="AW272" s="25" t="b">
        <f t="shared" si="71"/>
        <v>0</v>
      </c>
    </row>
    <row r="273" spans="32:49" ht="15.75" customHeight="1">
      <c r="AF273" s="4">
        <v>272</v>
      </c>
      <c r="AG273" s="4">
        <v>1</v>
      </c>
      <c r="AH273" s="4">
        <v>1</v>
      </c>
      <c r="AI273" s="4">
        <v>2</v>
      </c>
      <c r="AJ273" t="s">
        <v>2168</v>
      </c>
      <c r="AK273">
        <v>4</v>
      </c>
      <c r="AL273">
        <v>3.6</v>
      </c>
      <c r="AM273">
        <v>3</v>
      </c>
      <c r="AN273">
        <v>32</v>
      </c>
      <c r="AO273">
        <v>8.33</v>
      </c>
      <c r="AP273">
        <v>50</v>
      </c>
      <c r="AQ273">
        <v>4.626</v>
      </c>
      <c r="AS273" s="38">
        <f t="shared" si="67"/>
        <v>272</v>
      </c>
      <c r="AT273" s="25" t="b">
        <f t="shared" si="68"/>
        <v>0</v>
      </c>
      <c r="AU273" s="25" t="b">
        <f t="shared" si="69"/>
        <v>0</v>
      </c>
      <c r="AV273" s="25" t="b">
        <f t="shared" si="70"/>
        <v>0</v>
      </c>
      <c r="AW273" s="25" t="b">
        <f t="shared" si="71"/>
        <v>0</v>
      </c>
    </row>
    <row r="274" spans="32:49" ht="15.75" customHeight="1">
      <c r="AF274" s="4">
        <v>273</v>
      </c>
      <c r="AG274" s="4">
        <v>1</v>
      </c>
      <c r="AH274" s="4">
        <v>1</v>
      </c>
      <c r="AI274" s="4">
        <v>2</v>
      </c>
      <c r="AJ274" t="s">
        <v>2169</v>
      </c>
      <c r="AK274">
        <v>4</v>
      </c>
      <c r="AL274">
        <v>3.6</v>
      </c>
      <c r="AM274">
        <v>3</v>
      </c>
      <c r="AN274">
        <v>32</v>
      </c>
      <c r="AO274">
        <v>10.72</v>
      </c>
      <c r="AP274">
        <v>50</v>
      </c>
      <c r="AQ274">
        <v>4.626</v>
      </c>
      <c r="AS274" s="38">
        <f t="shared" si="67"/>
        <v>273</v>
      </c>
      <c r="AT274" s="25" t="b">
        <f t="shared" si="68"/>
        <v>0</v>
      </c>
      <c r="AU274" s="25" t="b">
        <f t="shared" si="69"/>
        <v>0</v>
      </c>
      <c r="AV274" s="25" t="b">
        <f t="shared" si="70"/>
        <v>0</v>
      </c>
      <c r="AW274" s="25" t="b">
        <f t="shared" si="71"/>
        <v>0</v>
      </c>
    </row>
    <row r="275" spans="32:49" ht="15.75" customHeight="1">
      <c r="AF275" s="4">
        <v>274</v>
      </c>
      <c r="AG275" s="4">
        <v>1</v>
      </c>
      <c r="AH275" s="4">
        <v>1</v>
      </c>
      <c r="AI275" s="4">
        <v>1</v>
      </c>
      <c r="AJ275" t="s">
        <v>2170</v>
      </c>
      <c r="AK275">
        <v>4</v>
      </c>
      <c r="AL275">
        <v>3.4</v>
      </c>
      <c r="AM275">
        <v>3</v>
      </c>
      <c r="AN275">
        <v>0.75</v>
      </c>
      <c r="AO275">
        <v>7.87</v>
      </c>
      <c r="AP275">
        <v>50</v>
      </c>
      <c r="AQ275">
        <v>4.3</v>
      </c>
      <c r="AS275" s="38">
        <f t="shared" si="67"/>
        <v>274</v>
      </c>
      <c r="AT275" s="25" t="b">
        <f t="shared" si="68"/>
        <v>0</v>
      </c>
      <c r="AU275" s="25" t="b">
        <f t="shared" si="69"/>
        <v>0</v>
      </c>
      <c r="AV275" s="25">
        <f t="shared" si="70"/>
        <v>274</v>
      </c>
      <c r="AW275" s="25" t="b">
        <f t="shared" si="71"/>
        <v>0</v>
      </c>
    </row>
    <row r="276" spans="32:49" ht="15.75" customHeight="1">
      <c r="AF276" s="4">
        <v>275</v>
      </c>
      <c r="AG276" s="4">
        <v>1</v>
      </c>
      <c r="AH276" s="4">
        <v>1</v>
      </c>
      <c r="AI276" s="4">
        <v>1</v>
      </c>
      <c r="AJ276" t="s">
        <v>2171</v>
      </c>
      <c r="AK276">
        <v>4</v>
      </c>
      <c r="AL276">
        <v>3.4</v>
      </c>
      <c r="AM276">
        <v>3</v>
      </c>
      <c r="AN276">
        <v>0.75</v>
      </c>
      <c r="AO276">
        <v>10.12</v>
      </c>
      <c r="AP276">
        <v>50</v>
      </c>
      <c r="AQ276">
        <v>4.3</v>
      </c>
      <c r="AS276" s="38">
        <f t="shared" si="67"/>
        <v>275</v>
      </c>
      <c r="AT276" s="25" t="b">
        <f t="shared" si="68"/>
        <v>0</v>
      </c>
      <c r="AU276" s="25" t="b">
        <f t="shared" si="69"/>
        <v>0</v>
      </c>
      <c r="AV276" s="25">
        <f t="shared" si="70"/>
        <v>275</v>
      </c>
      <c r="AW276" s="25" t="b">
        <f t="shared" si="71"/>
        <v>0</v>
      </c>
    </row>
    <row r="277" spans="32:49" ht="15.75" customHeight="1">
      <c r="AF277" s="4">
        <v>276</v>
      </c>
      <c r="AG277" s="4">
        <v>1</v>
      </c>
      <c r="AH277" s="4">
        <v>1</v>
      </c>
      <c r="AI277" s="4">
        <v>2</v>
      </c>
      <c r="AJ277" t="s">
        <v>2172</v>
      </c>
      <c r="AK277">
        <v>4</v>
      </c>
      <c r="AL277">
        <v>3.1</v>
      </c>
      <c r="AM277">
        <v>3</v>
      </c>
      <c r="AN277">
        <v>36</v>
      </c>
      <c r="AO277">
        <v>9.53</v>
      </c>
      <c r="AP277">
        <v>50</v>
      </c>
      <c r="AQ277">
        <v>3.966</v>
      </c>
      <c r="AS277" s="38">
        <f t="shared" si="67"/>
        <v>276</v>
      </c>
      <c r="AT277" s="25" t="b">
        <f t="shared" si="68"/>
        <v>0</v>
      </c>
      <c r="AU277" s="25" t="b">
        <f t="shared" si="69"/>
        <v>0</v>
      </c>
      <c r="AV277" s="25" t="b">
        <f t="shared" si="70"/>
        <v>0</v>
      </c>
      <c r="AW277" s="25" t="b">
        <f t="shared" si="71"/>
        <v>0</v>
      </c>
    </row>
    <row r="278" spans="32:49" ht="15.75" customHeight="1">
      <c r="AF278" s="4">
        <v>277</v>
      </c>
      <c r="AG278" s="4">
        <v>1</v>
      </c>
      <c r="AH278" s="4">
        <v>1</v>
      </c>
      <c r="AI278" s="4">
        <v>2</v>
      </c>
      <c r="AJ278" t="s">
        <v>2173</v>
      </c>
      <c r="AK278">
        <v>4</v>
      </c>
      <c r="AL278">
        <v>3.1</v>
      </c>
      <c r="AM278">
        <v>3</v>
      </c>
      <c r="AN278">
        <v>36</v>
      </c>
      <c r="AO278">
        <v>7.41</v>
      </c>
      <c r="AP278">
        <v>50</v>
      </c>
      <c r="AQ278">
        <v>3.966</v>
      </c>
      <c r="AS278" s="38">
        <f t="shared" si="67"/>
        <v>277</v>
      </c>
      <c r="AT278" s="25" t="b">
        <f t="shared" si="68"/>
        <v>0</v>
      </c>
      <c r="AU278" s="25" t="b">
        <f t="shared" si="69"/>
        <v>0</v>
      </c>
      <c r="AV278" s="25" t="b">
        <f t="shared" si="70"/>
        <v>0</v>
      </c>
      <c r="AW278" s="25" t="b">
        <f t="shared" si="71"/>
        <v>0</v>
      </c>
    </row>
    <row r="279" spans="32:49" ht="15.75" customHeight="1">
      <c r="AF279" s="4">
        <v>278</v>
      </c>
      <c r="AG279" s="4">
        <v>1</v>
      </c>
      <c r="AH279" s="4">
        <v>1</v>
      </c>
      <c r="AI279" s="4">
        <v>1</v>
      </c>
      <c r="AJ279" t="s">
        <v>2174</v>
      </c>
      <c r="AK279">
        <v>4</v>
      </c>
      <c r="AL279">
        <v>2.6</v>
      </c>
      <c r="AM279">
        <v>3</v>
      </c>
      <c r="AN279">
        <v>0.6</v>
      </c>
      <c r="AO279">
        <v>8.1</v>
      </c>
      <c r="AP279">
        <v>50</v>
      </c>
      <c r="AQ279">
        <v>3.3</v>
      </c>
      <c r="AS279" s="38">
        <f t="shared" si="67"/>
        <v>278</v>
      </c>
      <c r="AT279" s="25" t="b">
        <f t="shared" si="68"/>
        <v>0</v>
      </c>
      <c r="AU279" s="25" t="b">
        <f t="shared" si="69"/>
        <v>0</v>
      </c>
      <c r="AV279" s="25">
        <f t="shared" si="70"/>
        <v>278</v>
      </c>
      <c r="AW279" s="25" t="b">
        <f t="shared" si="71"/>
        <v>0</v>
      </c>
    </row>
    <row r="280" spans="32:49" ht="15.75" customHeight="1">
      <c r="AF280" s="4">
        <v>279</v>
      </c>
      <c r="AG280" s="4">
        <v>1</v>
      </c>
      <c r="AH280" s="4">
        <v>1</v>
      </c>
      <c r="AI280" s="4">
        <v>2</v>
      </c>
      <c r="AJ280" t="s">
        <v>2175</v>
      </c>
      <c r="AK280">
        <v>4</v>
      </c>
      <c r="AL280">
        <v>2.6</v>
      </c>
      <c r="AM280">
        <v>3</v>
      </c>
      <c r="AN280">
        <v>40</v>
      </c>
      <c r="AO280">
        <v>6.03</v>
      </c>
      <c r="AP280">
        <v>50</v>
      </c>
      <c r="AQ280">
        <v>3.305</v>
      </c>
      <c r="AS280" s="38">
        <f t="shared" si="67"/>
        <v>279</v>
      </c>
      <c r="AT280" s="25" t="b">
        <f t="shared" si="68"/>
        <v>0</v>
      </c>
      <c r="AU280" s="25" t="b">
        <f t="shared" si="69"/>
        <v>0</v>
      </c>
      <c r="AV280" s="25" t="b">
        <f t="shared" si="70"/>
        <v>0</v>
      </c>
      <c r="AW280" s="25" t="b">
        <f t="shared" si="71"/>
        <v>0</v>
      </c>
    </row>
    <row r="281" spans="32:49" ht="15.75" customHeight="1">
      <c r="AF281" s="4">
        <v>280</v>
      </c>
      <c r="AG281" s="4">
        <v>1</v>
      </c>
      <c r="AH281" s="4">
        <v>1</v>
      </c>
      <c r="AI281" s="4">
        <v>1</v>
      </c>
      <c r="AJ281" t="s">
        <v>2176</v>
      </c>
      <c r="AK281">
        <v>4</v>
      </c>
      <c r="AL281">
        <v>2.6</v>
      </c>
      <c r="AM281">
        <v>3</v>
      </c>
      <c r="AN281">
        <v>0.6</v>
      </c>
      <c r="AO281">
        <v>6.3</v>
      </c>
      <c r="AP281">
        <v>50</v>
      </c>
      <c r="AQ281">
        <v>3.3</v>
      </c>
      <c r="AS281" s="38">
        <f t="shared" si="67"/>
        <v>280</v>
      </c>
      <c r="AT281" s="25" t="b">
        <f t="shared" si="68"/>
        <v>0</v>
      </c>
      <c r="AU281" s="25" t="b">
        <f t="shared" si="69"/>
        <v>0</v>
      </c>
      <c r="AV281" s="25">
        <f t="shared" si="70"/>
        <v>280</v>
      </c>
      <c r="AW281" s="25" t="b">
        <f t="shared" si="71"/>
        <v>0</v>
      </c>
    </row>
    <row r="282" spans="32:49" ht="15.75" customHeight="1">
      <c r="AF282" s="4">
        <v>281</v>
      </c>
      <c r="AG282" s="4">
        <v>1</v>
      </c>
      <c r="AH282" s="4">
        <v>1</v>
      </c>
      <c r="AI282" s="4">
        <v>2</v>
      </c>
      <c r="AJ282" t="s">
        <v>2177</v>
      </c>
      <c r="AK282">
        <v>4</v>
      </c>
      <c r="AL282">
        <v>2.5</v>
      </c>
      <c r="AM282">
        <v>3</v>
      </c>
      <c r="AN282">
        <v>32</v>
      </c>
      <c r="AO282">
        <v>8.33</v>
      </c>
      <c r="AP282">
        <v>50</v>
      </c>
      <c r="AQ282">
        <v>3.305</v>
      </c>
      <c r="AS282" s="38">
        <f t="shared" si="67"/>
        <v>281</v>
      </c>
      <c r="AT282" s="25" t="b">
        <f t="shared" si="68"/>
        <v>0</v>
      </c>
      <c r="AU282" s="25" t="b">
        <f t="shared" si="69"/>
        <v>0</v>
      </c>
      <c r="AV282" s="25" t="b">
        <f t="shared" si="70"/>
        <v>0</v>
      </c>
      <c r="AW282" s="25" t="b">
        <f t="shared" si="71"/>
        <v>0</v>
      </c>
    </row>
    <row r="283" spans="32:49" ht="15.75" customHeight="1">
      <c r="AF283" s="4">
        <v>282</v>
      </c>
      <c r="AG283" s="4">
        <v>1</v>
      </c>
      <c r="AH283" s="4">
        <v>1</v>
      </c>
      <c r="AI283" s="4">
        <v>2</v>
      </c>
      <c r="AJ283" t="s">
        <v>2178</v>
      </c>
      <c r="AK283">
        <v>4</v>
      </c>
      <c r="AL283">
        <v>2.5</v>
      </c>
      <c r="AM283">
        <v>3</v>
      </c>
      <c r="AN283">
        <v>32</v>
      </c>
      <c r="AO283">
        <v>6.75</v>
      </c>
      <c r="AP283">
        <v>50</v>
      </c>
      <c r="AQ283">
        <v>3.305</v>
      </c>
      <c r="AS283" s="38">
        <f t="shared" si="67"/>
        <v>282</v>
      </c>
      <c r="AT283" s="25" t="b">
        <f t="shared" si="68"/>
        <v>0</v>
      </c>
      <c r="AU283" s="25" t="b">
        <f t="shared" si="69"/>
        <v>0</v>
      </c>
      <c r="AV283" s="25" t="b">
        <f t="shared" si="70"/>
        <v>0</v>
      </c>
      <c r="AW283" s="25" t="b">
        <f t="shared" si="71"/>
        <v>0</v>
      </c>
    </row>
    <row r="284" spans="32:49" ht="15.75" customHeight="1">
      <c r="AF284" s="4">
        <v>283</v>
      </c>
      <c r="AG284" s="4">
        <v>1</v>
      </c>
      <c r="AH284" s="4">
        <v>1</v>
      </c>
      <c r="AI284" s="4">
        <v>2</v>
      </c>
      <c r="AJ284" t="s">
        <v>2179</v>
      </c>
      <c r="AK284">
        <v>4</v>
      </c>
      <c r="AL284">
        <v>2.5</v>
      </c>
      <c r="AM284">
        <v>3</v>
      </c>
      <c r="AN284">
        <v>32</v>
      </c>
      <c r="AO284">
        <v>9.92</v>
      </c>
      <c r="AP284">
        <v>50</v>
      </c>
      <c r="AQ284">
        <v>3.305</v>
      </c>
      <c r="AS284" s="38">
        <f t="shared" si="67"/>
        <v>283</v>
      </c>
      <c r="AT284" s="25" t="b">
        <f t="shared" si="68"/>
        <v>0</v>
      </c>
      <c r="AU284" s="25" t="b">
        <f t="shared" si="69"/>
        <v>0</v>
      </c>
      <c r="AV284" s="25" t="b">
        <f t="shared" si="70"/>
        <v>0</v>
      </c>
      <c r="AW284" s="25" t="b">
        <f t="shared" si="71"/>
        <v>0</v>
      </c>
    </row>
    <row r="285" spans="32:49" ht="15.75" customHeight="1">
      <c r="AF285" s="4">
        <v>284</v>
      </c>
      <c r="AG285" s="4">
        <v>1</v>
      </c>
      <c r="AH285" s="4">
        <v>1</v>
      </c>
      <c r="AI285" s="4">
        <v>2</v>
      </c>
      <c r="AJ285" t="s">
        <v>2180</v>
      </c>
      <c r="AK285">
        <v>4</v>
      </c>
      <c r="AL285">
        <v>2.4</v>
      </c>
      <c r="AM285">
        <v>3</v>
      </c>
      <c r="AN285">
        <v>44</v>
      </c>
      <c r="AO285">
        <v>5.48</v>
      </c>
      <c r="AP285">
        <v>50</v>
      </c>
      <c r="AQ285">
        <v>2.975</v>
      </c>
      <c r="AS285" s="38">
        <f t="shared" si="67"/>
        <v>284</v>
      </c>
      <c r="AT285" s="25" t="b">
        <f t="shared" si="68"/>
        <v>0</v>
      </c>
      <c r="AU285" s="25" t="b">
        <f t="shared" si="69"/>
        <v>0</v>
      </c>
      <c r="AV285" s="25" t="b">
        <f t="shared" si="70"/>
        <v>0</v>
      </c>
      <c r="AW285" s="25" t="b">
        <f t="shared" si="71"/>
        <v>0</v>
      </c>
    </row>
    <row r="286" spans="32:49" ht="15.75" customHeight="1">
      <c r="AF286" s="4">
        <v>285</v>
      </c>
      <c r="AG286" s="4">
        <v>1</v>
      </c>
      <c r="AH286" s="4">
        <v>1</v>
      </c>
      <c r="AI286" s="4">
        <v>2</v>
      </c>
      <c r="AJ286" t="s">
        <v>2181</v>
      </c>
      <c r="AK286">
        <v>4</v>
      </c>
      <c r="AL286">
        <v>2.3</v>
      </c>
      <c r="AM286">
        <v>3</v>
      </c>
      <c r="AN286">
        <v>40</v>
      </c>
      <c r="AO286">
        <v>8.57</v>
      </c>
      <c r="AP286">
        <v>50</v>
      </c>
      <c r="AQ286">
        <v>2.975</v>
      </c>
      <c r="AS286" s="38">
        <f t="shared" si="67"/>
        <v>285</v>
      </c>
      <c r="AT286" s="25" t="b">
        <f t="shared" si="68"/>
        <v>0</v>
      </c>
      <c r="AU286" s="25" t="b">
        <f t="shared" si="69"/>
        <v>0</v>
      </c>
      <c r="AV286" s="25" t="b">
        <f t="shared" si="70"/>
        <v>0</v>
      </c>
      <c r="AW286" s="25" t="b">
        <f t="shared" si="71"/>
        <v>0</v>
      </c>
    </row>
    <row r="287" spans="32:49" ht="15.75" customHeight="1">
      <c r="AF287" s="4">
        <v>286</v>
      </c>
      <c r="AG287" s="4">
        <v>1</v>
      </c>
      <c r="AH287" s="4">
        <v>1</v>
      </c>
      <c r="AI287" s="4">
        <v>1</v>
      </c>
      <c r="AJ287" t="s">
        <v>2182</v>
      </c>
      <c r="AK287">
        <v>4</v>
      </c>
      <c r="AL287">
        <v>2.3</v>
      </c>
      <c r="AM287">
        <v>3</v>
      </c>
      <c r="AN287">
        <v>0.5</v>
      </c>
      <c r="AO287">
        <v>8.25</v>
      </c>
      <c r="AP287">
        <v>50</v>
      </c>
      <c r="AQ287">
        <v>2.8</v>
      </c>
      <c r="AS287" s="38">
        <f t="shared" si="67"/>
        <v>286</v>
      </c>
      <c r="AT287" s="25" t="b">
        <f t="shared" si="68"/>
        <v>0</v>
      </c>
      <c r="AU287" s="25" t="b">
        <f t="shared" si="69"/>
        <v>0</v>
      </c>
      <c r="AV287" s="25">
        <f t="shared" si="70"/>
        <v>286</v>
      </c>
      <c r="AW287" s="25" t="b">
        <f t="shared" si="71"/>
        <v>0</v>
      </c>
    </row>
    <row r="288" spans="32:49" ht="15.75" customHeight="1">
      <c r="AF288" s="4">
        <v>287</v>
      </c>
      <c r="AG288" s="4">
        <v>1</v>
      </c>
      <c r="AH288" s="4">
        <v>1</v>
      </c>
      <c r="AI288" s="4">
        <v>2</v>
      </c>
      <c r="AJ288" t="s">
        <v>2183</v>
      </c>
      <c r="AK288">
        <v>4</v>
      </c>
      <c r="AL288">
        <v>2.3</v>
      </c>
      <c r="AM288">
        <v>3</v>
      </c>
      <c r="AN288">
        <v>40</v>
      </c>
      <c r="AO288">
        <v>7.3</v>
      </c>
      <c r="AP288">
        <v>50</v>
      </c>
      <c r="AQ288">
        <v>2.975</v>
      </c>
      <c r="AS288" s="38">
        <f t="shared" si="67"/>
        <v>287</v>
      </c>
      <c r="AT288" s="25" t="b">
        <f t="shared" si="68"/>
        <v>0</v>
      </c>
      <c r="AU288" s="25" t="b">
        <f t="shared" si="69"/>
        <v>0</v>
      </c>
      <c r="AV288" s="25" t="b">
        <f t="shared" si="70"/>
        <v>0</v>
      </c>
      <c r="AW288" s="25" t="b">
        <f t="shared" si="71"/>
        <v>0</v>
      </c>
    </row>
    <row r="289" spans="32:49" ht="15.75" customHeight="1">
      <c r="AF289" s="4">
        <v>288</v>
      </c>
      <c r="AG289" s="4">
        <v>1</v>
      </c>
      <c r="AH289" s="4">
        <v>1</v>
      </c>
      <c r="AI289" s="4">
        <v>1</v>
      </c>
      <c r="AJ289" t="s">
        <v>2184</v>
      </c>
      <c r="AK289">
        <v>4</v>
      </c>
      <c r="AL289">
        <v>2.3</v>
      </c>
      <c r="AM289">
        <v>3</v>
      </c>
      <c r="AN289">
        <v>0.5</v>
      </c>
      <c r="AO289">
        <v>6.75</v>
      </c>
      <c r="AP289">
        <v>50</v>
      </c>
      <c r="AQ289">
        <v>2.8</v>
      </c>
      <c r="AS289" s="38">
        <f t="shared" si="67"/>
        <v>288</v>
      </c>
      <c r="AT289" s="25" t="b">
        <f t="shared" si="68"/>
        <v>0</v>
      </c>
      <c r="AU289" s="25" t="b">
        <f t="shared" si="69"/>
        <v>0</v>
      </c>
      <c r="AV289" s="25">
        <f t="shared" si="70"/>
        <v>288</v>
      </c>
      <c r="AW289" s="25" t="b">
        <f t="shared" si="71"/>
        <v>0</v>
      </c>
    </row>
    <row r="290" spans="32:49" ht="15.75" customHeight="1">
      <c r="AF290" s="4">
        <v>289</v>
      </c>
      <c r="AG290" s="4">
        <v>1</v>
      </c>
      <c r="AH290" s="4">
        <v>1</v>
      </c>
      <c r="AI290" s="4">
        <v>2</v>
      </c>
      <c r="AJ290" t="s">
        <v>2185</v>
      </c>
      <c r="AK290">
        <v>4</v>
      </c>
      <c r="AL290">
        <v>2.3</v>
      </c>
      <c r="AM290">
        <v>3</v>
      </c>
      <c r="AN290">
        <v>40</v>
      </c>
      <c r="AO290">
        <v>5.4</v>
      </c>
      <c r="AP290">
        <v>50</v>
      </c>
      <c r="AQ290">
        <v>2.975</v>
      </c>
      <c r="AS290" s="38">
        <f t="shared" si="67"/>
        <v>289</v>
      </c>
      <c r="AT290" s="25" t="b">
        <f t="shared" si="68"/>
        <v>0</v>
      </c>
      <c r="AU290" s="25" t="b">
        <f t="shared" si="69"/>
        <v>0</v>
      </c>
      <c r="AV290" s="25" t="b">
        <f t="shared" si="70"/>
        <v>0</v>
      </c>
      <c r="AW290" s="25" t="b">
        <f t="shared" si="71"/>
        <v>0</v>
      </c>
    </row>
    <row r="291" spans="32:49" ht="15.75" customHeight="1">
      <c r="AF291" s="4">
        <v>290</v>
      </c>
      <c r="AG291" s="4">
        <v>1</v>
      </c>
      <c r="AH291" s="4">
        <v>1</v>
      </c>
      <c r="AI291" s="4">
        <v>1</v>
      </c>
      <c r="AJ291" t="s">
        <v>2186</v>
      </c>
      <c r="AK291">
        <v>4</v>
      </c>
      <c r="AL291">
        <v>2.3</v>
      </c>
      <c r="AM291">
        <v>3</v>
      </c>
      <c r="AN291">
        <v>0.5</v>
      </c>
      <c r="AO291">
        <v>5.25</v>
      </c>
      <c r="AP291">
        <v>50</v>
      </c>
      <c r="AQ291">
        <v>2.8</v>
      </c>
      <c r="AS291" s="38">
        <f t="shared" si="67"/>
        <v>290</v>
      </c>
      <c r="AT291" s="25" t="b">
        <f t="shared" si="68"/>
        <v>0</v>
      </c>
      <c r="AU291" s="25" t="b">
        <f t="shared" si="69"/>
        <v>0</v>
      </c>
      <c r="AV291" s="25">
        <f t="shared" si="70"/>
        <v>290</v>
      </c>
      <c r="AW291" s="25" t="b">
        <f t="shared" si="71"/>
        <v>0</v>
      </c>
    </row>
    <row r="292" spans="32:49" ht="15.75" customHeight="1">
      <c r="AF292" s="4">
        <v>291</v>
      </c>
      <c r="AG292" s="4">
        <v>1</v>
      </c>
      <c r="AH292" s="4">
        <v>1</v>
      </c>
      <c r="AI292" s="4">
        <v>1</v>
      </c>
      <c r="AJ292" t="s">
        <v>2187</v>
      </c>
      <c r="AK292">
        <v>4</v>
      </c>
      <c r="AL292">
        <v>1.9</v>
      </c>
      <c r="AM292">
        <v>3</v>
      </c>
      <c r="AN292">
        <v>0.45</v>
      </c>
      <c r="AO292">
        <v>5.62</v>
      </c>
      <c r="AP292">
        <v>50</v>
      </c>
      <c r="AQ292">
        <v>2.3</v>
      </c>
      <c r="AS292" s="38">
        <f t="shared" si="67"/>
        <v>291</v>
      </c>
      <c r="AT292" s="25" t="b">
        <f t="shared" si="68"/>
        <v>0</v>
      </c>
      <c r="AU292" s="25" t="b">
        <f t="shared" si="69"/>
        <v>0</v>
      </c>
      <c r="AV292" s="25">
        <f t="shared" si="70"/>
        <v>291</v>
      </c>
      <c r="AW292" s="25" t="b">
        <f t="shared" si="71"/>
        <v>0</v>
      </c>
    </row>
    <row r="293" spans="32:49" ht="15.75" customHeight="1">
      <c r="AF293" s="4">
        <v>292</v>
      </c>
      <c r="AG293" s="4">
        <v>1</v>
      </c>
      <c r="AH293" s="4">
        <v>1</v>
      </c>
      <c r="AI293" s="4">
        <v>1</v>
      </c>
      <c r="AJ293" t="s">
        <v>2188</v>
      </c>
      <c r="AK293">
        <v>4</v>
      </c>
      <c r="AL293">
        <v>1.9</v>
      </c>
      <c r="AM293">
        <v>3</v>
      </c>
      <c r="AN293">
        <v>0.45</v>
      </c>
      <c r="AO293">
        <v>4.27</v>
      </c>
      <c r="AP293">
        <v>50</v>
      </c>
      <c r="AQ293">
        <v>2.3</v>
      </c>
      <c r="AS293" s="38">
        <f t="shared" si="67"/>
        <v>292</v>
      </c>
      <c r="AT293" s="25" t="b">
        <f t="shared" si="68"/>
        <v>0</v>
      </c>
      <c r="AU293" s="25" t="b">
        <f t="shared" si="69"/>
        <v>0</v>
      </c>
      <c r="AV293" s="25">
        <f t="shared" si="70"/>
        <v>292</v>
      </c>
      <c r="AW293" s="25" t="b">
        <f t="shared" si="71"/>
        <v>0</v>
      </c>
    </row>
    <row r="294" spans="32:49" ht="15.75" customHeight="1">
      <c r="AF294" s="4">
        <v>293</v>
      </c>
      <c r="AG294" s="4">
        <v>1</v>
      </c>
      <c r="AH294" s="4">
        <v>1</v>
      </c>
      <c r="AI294" s="4">
        <v>1</v>
      </c>
      <c r="AJ294" t="s">
        <v>2189</v>
      </c>
      <c r="AK294">
        <v>4</v>
      </c>
      <c r="AL294">
        <v>1.6</v>
      </c>
      <c r="AM294">
        <v>3</v>
      </c>
      <c r="AN294">
        <v>0.45</v>
      </c>
      <c r="AO294">
        <v>5.17</v>
      </c>
      <c r="AP294">
        <v>50</v>
      </c>
      <c r="AQ294">
        <v>2</v>
      </c>
      <c r="AS294" s="38">
        <f t="shared" si="67"/>
        <v>293</v>
      </c>
      <c r="AT294" s="25" t="b">
        <f t="shared" si="68"/>
        <v>0</v>
      </c>
      <c r="AU294" s="25" t="b">
        <f t="shared" si="69"/>
        <v>0</v>
      </c>
      <c r="AV294" s="25">
        <f t="shared" si="70"/>
        <v>293</v>
      </c>
      <c r="AW294" s="25" t="b">
        <f t="shared" si="71"/>
        <v>0</v>
      </c>
    </row>
    <row r="295" spans="32:49" ht="15.75" customHeight="1">
      <c r="AF295" s="4">
        <v>294</v>
      </c>
      <c r="AG295" s="4">
        <v>1</v>
      </c>
      <c r="AH295" s="4">
        <v>1</v>
      </c>
      <c r="AI295" s="4">
        <v>1</v>
      </c>
      <c r="AJ295" t="s">
        <v>2190</v>
      </c>
      <c r="AK295">
        <v>4</v>
      </c>
      <c r="AL295">
        <v>1.6</v>
      </c>
      <c r="AM295">
        <v>3</v>
      </c>
      <c r="AN295">
        <v>0.45</v>
      </c>
      <c r="AO295">
        <v>3.82</v>
      </c>
      <c r="AP295">
        <v>50</v>
      </c>
      <c r="AQ295">
        <v>2</v>
      </c>
      <c r="AS295" s="38">
        <f t="shared" si="67"/>
        <v>294</v>
      </c>
      <c r="AT295" s="25" t="b">
        <f t="shared" si="68"/>
        <v>0</v>
      </c>
      <c r="AU295" s="25" t="b">
        <f t="shared" si="69"/>
        <v>0</v>
      </c>
      <c r="AV295" s="25">
        <f t="shared" si="70"/>
        <v>294</v>
      </c>
      <c r="AW295" s="25" t="b">
        <f t="shared" si="71"/>
        <v>0</v>
      </c>
    </row>
    <row r="296" spans="32:49" ht="15.75" customHeight="1">
      <c r="AF296" s="4">
        <v>295</v>
      </c>
      <c r="AG296" s="4">
        <v>1</v>
      </c>
      <c r="AH296" s="4">
        <v>1</v>
      </c>
      <c r="AI296" s="4">
        <v>1</v>
      </c>
      <c r="AJ296" t="s">
        <v>2191</v>
      </c>
      <c r="AK296">
        <v>4</v>
      </c>
      <c r="AL296">
        <v>1.5</v>
      </c>
      <c r="AM296">
        <v>3</v>
      </c>
      <c r="AN296">
        <v>0.4</v>
      </c>
      <c r="AO296">
        <v>4.6</v>
      </c>
      <c r="AP296">
        <v>50</v>
      </c>
      <c r="AQ296">
        <v>1.8</v>
      </c>
      <c r="AS296" s="38">
        <f t="shared" si="67"/>
        <v>295</v>
      </c>
      <c r="AT296" s="25" t="b">
        <f t="shared" si="68"/>
        <v>0</v>
      </c>
      <c r="AU296" s="25" t="b">
        <f t="shared" si="69"/>
        <v>0</v>
      </c>
      <c r="AV296" s="25">
        <f t="shared" si="70"/>
        <v>295</v>
      </c>
      <c r="AW296" s="25" t="b">
        <f t="shared" si="71"/>
        <v>0</v>
      </c>
    </row>
    <row r="297" spans="32:49" ht="15.75" customHeight="1">
      <c r="AF297" s="4">
        <v>296</v>
      </c>
      <c r="AG297" s="4">
        <v>1</v>
      </c>
      <c r="AH297" s="4">
        <v>1</v>
      </c>
      <c r="AI297" s="4">
        <v>1</v>
      </c>
      <c r="AJ297" t="s">
        <v>2192</v>
      </c>
      <c r="AK297">
        <v>4</v>
      </c>
      <c r="AL297">
        <v>1.5</v>
      </c>
      <c r="AM297">
        <v>3</v>
      </c>
      <c r="AN297">
        <v>0.4</v>
      </c>
      <c r="AO297">
        <v>3.4</v>
      </c>
      <c r="AP297">
        <v>50</v>
      </c>
      <c r="AQ297">
        <v>1.8</v>
      </c>
      <c r="AS297" s="38">
        <f t="shared" si="67"/>
        <v>296</v>
      </c>
      <c r="AT297" s="25" t="b">
        <f t="shared" si="68"/>
        <v>0</v>
      </c>
      <c r="AU297" s="25" t="b">
        <f t="shared" si="69"/>
        <v>0</v>
      </c>
      <c r="AV297" s="25">
        <f t="shared" si="70"/>
        <v>296</v>
      </c>
      <c r="AW297" s="25" t="b">
        <f t="shared" si="71"/>
        <v>0</v>
      </c>
    </row>
    <row r="298" spans="32:49" ht="15.75" customHeight="1">
      <c r="AF298" s="4">
        <v>297</v>
      </c>
      <c r="AG298" s="4">
        <v>1</v>
      </c>
      <c r="AJ298" t="s">
        <v>2193</v>
      </c>
      <c r="AK298">
        <v>16</v>
      </c>
      <c r="AL298">
        <v>16</v>
      </c>
      <c r="AM298">
        <v>4</v>
      </c>
      <c r="AO298">
        <v>35</v>
      </c>
      <c r="AP298">
        <v>100</v>
      </c>
      <c r="AS298" s="38">
        <f t="shared" si="67"/>
        <v>297</v>
      </c>
      <c r="AT298" s="25" t="b">
        <f t="shared" si="68"/>
        <v>0</v>
      </c>
      <c r="AU298" s="25" t="b">
        <f t="shared" si="69"/>
        <v>0</v>
      </c>
      <c r="AV298" s="25" t="b">
        <f t="shared" si="70"/>
        <v>0</v>
      </c>
      <c r="AW298" s="25" t="b">
        <f t="shared" si="71"/>
        <v>0</v>
      </c>
    </row>
    <row r="299" spans="32:49" ht="15.75" customHeight="1">
      <c r="AF299" s="4">
        <v>298</v>
      </c>
      <c r="AG299" s="4">
        <v>1</v>
      </c>
      <c r="AJ299" t="s">
        <v>2194</v>
      </c>
      <c r="AK299">
        <v>12</v>
      </c>
      <c r="AL299">
        <v>12</v>
      </c>
      <c r="AM299">
        <v>4</v>
      </c>
      <c r="AO299">
        <v>26.25</v>
      </c>
      <c r="AP299">
        <v>83</v>
      </c>
      <c r="AS299" s="38">
        <f t="shared" si="67"/>
        <v>298</v>
      </c>
      <c r="AT299" s="25" t="b">
        <f t="shared" si="68"/>
        <v>0</v>
      </c>
      <c r="AU299" s="25" t="b">
        <f t="shared" si="69"/>
        <v>0</v>
      </c>
      <c r="AV299" s="25" t="b">
        <f t="shared" si="70"/>
        <v>0</v>
      </c>
      <c r="AW299" s="25" t="b">
        <f t="shared" si="71"/>
        <v>0</v>
      </c>
    </row>
    <row r="300" spans="32:49" ht="15.75" customHeight="1">
      <c r="AF300" s="4">
        <v>299</v>
      </c>
      <c r="AG300" s="4">
        <v>1</v>
      </c>
      <c r="AJ300" t="s">
        <v>2195</v>
      </c>
      <c r="AK300">
        <v>10</v>
      </c>
      <c r="AL300">
        <v>10</v>
      </c>
      <c r="AM300">
        <v>4</v>
      </c>
      <c r="AO300">
        <v>21.5</v>
      </c>
      <c r="AP300">
        <v>76</v>
      </c>
      <c r="AS300" s="38">
        <f t="shared" si="67"/>
        <v>299</v>
      </c>
      <c r="AT300" s="25" t="b">
        <f t="shared" si="68"/>
        <v>0</v>
      </c>
      <c r="AU300" s="25" t="b">
        <f t="shared" si="69"/>
        <v>0</v>
      </c>
      <c r="AV300" s="25" t="b">
        <f t="shared" si="70"/>
        <v>0</v>
      </c>
      <c r="AW300" s="25" t="b">
        <f t="shared" si="71"/>
        <v>0</v>
      </c>
    </row>
  </sheetData>
  <sheetProtection password="CDC6" sheet="1" objects="1" scenarios="1"/>
  <mergeCells count="1">
    <mergeCell ref="B2:D3"/>
  </mergeCells>
  <conditionalFormatting sqref="C22:C27">
    <cfRule type="expression" priority="1" dxfId="1" stopIfTrue="1">
      <formula>AND(CNC!D22&gt;0)</formula>
    </cfRule>
  </conditionalFormatting>
  <hyperlinks>
    <hyperlink ref="B34" location="INFO!A1" display="INFO!A1"/>
    <hyperlink ref="G6" r:id="rId1" display="info@whizcut.se"/>
    <hyperlink ref="G7" r:id="rId2" display="www.whizcut.se"/>
  </hyperlinks>
  <printOptions/>
  <pageMargins left="0" right="0" top="0" bottom="0" header="0" footer="0"/>
  <pageSetup blackAndWhite="1" orientation="landscape" paperSize="9"/>
  <ignoredErrors>
    <ignoredError sqref="I7:I11 I12:I13 BV13 AS298:AV300" emptyCellReference="1"/>
  </ignoredErrors>
  <drawing r:id="rId4"/>
  <legacyDrawing r:id="rId3"/>
</worksheet>
</file>

<file path=xl/worksheets/sheet2.xml><?xml version="1.0" encoding="utf-8"?>
<worksheet xmlns="http://schemas.openxmlformats.org/spreadsheetml/2006/main" xmlns:r="http://schemas.openxmlformats.org/officeDocument/2006/relationships">
  <dimension ref="A1:Y35"/>
  <sheetViews>
    <sheetView showGridLines="0" showRowColHeaders="0" workbookViewId="0" topLeftCell="A1">
      <selection activeCell="A1" sqref="A1"/>
    </sheetView>
  </sheetViews>
  <sheetFormatPr defaultColWidth="11.00390625" defaultRowHeight="12.75"/>
  <cols>
    <col min="1" max="1" width="6.125" style="0" customWidth="1"/>
    <col min="2" max="2" width="60.75390625" style="0" customWidth="1"/>
    <col min="3" max="3" width="6.125" style="0" customWidth="1"/>
    <col min="4" max="4" width="0" style="0" hidden="1" customWidth="1"/>
    <col min="5" max="12" width="60.75390625" style="0" hidden="1" customWidth="1"/>
    <col min="13" max="13" width="57.125" style="0" hidden="1" customWidth="1"/>
    <col min="14" max="25" width="60.75390625" style="0" hidden="1" customWidth="1"/>
    <col min="26" max="60" width="0" style="0" hidden="1" customWidth="1"/>
  </cols>
  <sheetData>
    <row r="1" spans="1:25" ht="12.75">
      <c r="A1" s="52"/>
      <c r="B1" s="52"/>
      <c r="C1" s="52"/>
      <c r="E1" s="36" t="s">
        <v>684</v>
      </c>
      <c r="F1" s="36" t="s">
        <v>626</v>
      </c>
      <c r="G1" s="36" t="s">
        <v>683</v>
      </c>
      <c r="H1" s="36" t="s">
        <v>627</v>
      </c>
      <c r="I1" s="36" t="s">
        <v>946</v>
      </c>
      <c r="J1" s="36" t="s">
        <v>1729</v>
      </c>
      <c r="K1" s="36" t="s">
        <v>695</v>
      </c>
      <c r="L1" s="36" t="s">
        <v>696</v>
      </c>
      <c r="M1" s="36" t="s">
        <v>1728</v>
      </c>
      <c r="N1" s="36" t="s">
        <v>693</v>
      </c>
      <c r="O1" s="36" t="s">
        <v>697</v>
      </c>
      <c r="P1" s="36" t="s">
        <v>698</v>
      </c>
      <c r="Q1" s="36" t="s">
        <v>694</v>
      </c>
      <c r="R1" s="36" t="s">
        <v>1183</v>
      </c>
      <c r="S1" s="36" t="s">
        <v>685</v>
      </c>
      <c r="T1" s="36" t="s">
        <v>851</v>
      </c>
      <c r="U1" s="36" t="s">
        <v>1409</v>
      </c>
      <c r="V1" s="113" t="s">
        <v>1538</v>
      </c>
      <c r="W1" s="36" t="s">
        <v>445</v>
      </c>
      <c r="X1" s="127" t="s">
        <v>164</v>
      </c>
      <c r="Y1" s="36" t="s">
        <v>1659</v>
      </c>
    </row>
    <row r="2" spans="1:25" ht="12.75">
      <c r="A2" s="52"/>
      <c r="B2" s="52"/>
      <c r="C2" s="52"/>
      <c r="E2" s="9">
        <v>1</v>
      </c>
      <c r="F2" s="9">
        <v>2</v>
      </c>
      <c r="G2" s="9">
        <v>3</v>
      </c>
      <c r="H2" s="9">
        <v>4</v>
      </c>
      <c r="I2" s="9">
        <v>5</v>
      </c>
      <c r="J2" s="9">
        <v>6</v>
      </c>
      <c r="K2" s="9">
        <v>7</v>
      </c>
      <c r="L2" s="9">
        <v>8</v>
      </c>
      <c r="M2" s="9">
        <v>9</v>
      </c>
      <c r="N2" s="9">
        <v>10</v>
      </c>
      <c r="O2" s="9">
        <v>11</v>
      </c>
      <c r="P2" s="9">
        <v>12</v>
      </c>
      <c r="Q2" s="9">
        <v>13</v>
      </c>
      <c r="R2" s="9">
        <v>14</v>
      </c>
      <c r="S2" s="9">
        <v>15</v>
      </c>
      <c r="T2" s="9">
        <v>16</v>
      </c>
      <c r="U2" s="9">
        <v>17</v>
      </c>
      <c r="V2" s="9">
        <v>18</v>
      </c>
      <c r="W2" s="9">
        <v>19</v>
      </c>
      <c r="X2" s="9">
        <v>20</v>
      </c>
      <c r="Y2" s="9">
        <v>21</v>
      </c>
    </row>
    <row r="3" spans="1:25" ht="15">
      <c r="A3" s="52"/>
      <c r="B3" s="85" t="str">
        <f>LOOKUP(CNC!H$27,E$2:Y$2,E3:Y3)</f>
        <v>Warning!</v>
      </c>
      <c r="C3" s="52"/>
      <c r="E3" s="90" t="s">
        <v>1067</v>
      </c>
      <c r="F3" s="56" t="s">
        <v>687</v>
      </c>
      <c r="G3" s="92" t="s">
        <v>1193</v>
      </c>
      <c r="H3" s="56" t="s">
        <v>699</v>
      </c>
      <c r="I3" s="56" t="s">
        <v>820</v>
      </c>
      <c r="J3" s="56" t="s">
        <v>1854</v>
      </c>
      <c r="K3" s="1" t="s">
        <v>462</v>
      </c>
      <c r="L3" s="1" t="s">
        <v>1200</v>
      </c>
      <c r="M3" s="56" t="s">
        <v>1873</v>
      </c>
      <c r="N3" s="92" t="s">
        <v>1520</v>
      </c>
      <c r="O3" s="92" t="s">
        <v>1067</v>
      </c>
      <c r="P3" s="1" t="s">
        <v>389</v>
      </c>
      <c r="Q3" s="1" t="s">
        <v>1347</v>
      </c>
      <c r="R3" s="1" t="s">
        <v>569</v>
      </c>
      <c r="S3" s="56" t="s">
        <v>603</v>
      </c>
      <c r="T3" s="56" t="s">
        <v>876</v>
      </c>
      <c r="U3" s="99" t="s">
        <v>525</v>
      </c>
      <c r="V3" s="114" t="s">
        <v>226</v>
      </c>
      <c r="W3" s="104" t="s">
        <v>469</v>
      </c>
      <c r="X3" s="122" t="s">
        <v>173</v>
      </c>
      <c r="Y3" s="110" t="s">
        <v>222</v>
      </c>
    </row>
    <row r="4" spans="1:25" s="94" customFormat="1" ht="60">
      <c r="A4" s="131"/>
      <c r="B4" s="54" t="str">
        <f>LOOKUP(CNC!H$27,E$2:Y$2,E4:Y4)</f>
        <v>The mentioned cutting data are only recommended starting values. There are many things that can affect so it will be necessary to make adjustments, for example, machine stability, tooling equipment etc. SmiCut does not take any responsibility for damages that can occur when using the CNC program or cutting data recommended by the software.</v>
      </c>
      <c r="C4" s="131"/>
      <c r="E4" s="91" t="s">
        <v>1895</v>
      </c>
      <c r="F4" s="57" t="s">
        <v>1077</v>
      </c>
      <c r="G4" s="57" t="s">
        <v>1094</v>
      </c>
      <c r="H4" s="57" t="s">
        <v>1032</v>
      </c>
      <c r="I4" s="57" t="s">
        <v>878</v>
      </c>
      <c r="J4" s="93" t="s">
        <v>1855</v>
      </c>
      <c r="K4" s="93" t="s">
        <v>320</v>
      </c>
      <c r="L4" s="57" t="s">
        <v>1203</v>
      </c>
      <c r="M4" s="57" t="s">
        <v>1874</v>
      </c>
      <c r="N4" s="93" t="s">
        <v>1293</v>
      </c>
      <c r="O4" s="93" t="s">
        <v>1655</v>
      </c>
      <c r="P4" s="57" t="s">
        <v>331</v>
      </c>
      <c r="Q4" s="57" t="s">
        <v>1581</v>
      </c>
      <c r="R4" s="93" t="s">
        <v>162</v>
      </c>
      <c r="S4" s="57" t="s">
        <v>235</v>
      </c>
      <c r="T4" s="57" t="s">
        <v>823</v>
      </c>
      <c r="U4" s="129" t="s">
        <v>20</v>
      </c>
      <c r="V4" s="132" t="s">
        <v>150</v>
      </c>
      <c r="W4" s="133" t="s">
        <v>68</v>
      </c>
      <c r="X4" s="123" t="s">
        <v>75</v>
      </c>
      <c r="Y4" s="130" t="s">
        <v>76</v>
      </c>
    </row>
    <row r="5" spans="1:25" ht="12.75">
      <c r="A5" s="52"/>
      <c r="B5" s="52"/>
      <c r="C5" s="52"/>
      <c r="E5" s="86"/>
      <c r="F5" s="9"/>
      <c r="H5" s="9"/>
      <c r="I5" s="9"/>
      <c r="N5" s="94"/>
      <c r="O5" s="94"/>
      <c r="Q5" s="9"/>
      <c r="S5" s="9"/>
      <c r="T5" s="9"/>
      <c r="U5" s="100"/>
      <c r="W5" s="105"/>
      <c r="X5" s="124"/>
      <c r="Y5" s="111"/>
    </row>
    <row r="6" spans="1:25" ht="15">
      <c r="A6" s="52"/>
      <c r="B6" s="53" t="str">
        <f>LOOKUP(CNC!H$27,E$2:Y$2,E6:Y6)</f>
        <v>How to use the Program</v>
      </c>
      <c r="C6" s="52"/>
      <c r="E6" s="90" t="s">
        <v>1071</v>
      </c>
      <c r="F6" s="56" t="s">
        <v>1036</v>
      </c>
      <c r="G6" s="56" t="s">
        <v>1095</v>
      </c>
      <c r="H6" s="56" t="s">
        <v>872</v>
      </c>
      <c r="I6" s="56" t="s">
        <v>1014</v>
      </c>
      <c r="J6" s="56" t="s">
        <v>1856</v>
      </c>
      <c r="K6" s="92" t="s">
        <v>321</v>
      </c>
      <c r="L6" s="56" t="s">
        <v>1204</v>
      </c>
      <c r="M6" s="56" t="s">
        <v>1875</v>
      </c>
      <c r="N6" s="95" t="s">
        <v>1290</v>
      </c>
      <c r="O6" s="95" t="s">
        <v>1559</v>
      </c>
      <c r="P6" s="1" t="s">
        <v>332</v>
      </c>
      <c r="Q6" s="56" t="s">
        <v>1478</v>
      </c>
      <c r="R6" s="1" t="s">
        <v>570</v>
      </c>
      <c r="S6" s="56" t="s">
        <v>602</v>
      </c>
      <c r="T6" s="56" t="s">
        <v>992</v>
      </c>
      <c r="U6" s="99" t="s">
        <v>476</v>
      </c>
      <c r="V6" s="114" t="s">
        <v>227</v>
      </c>
      <c r="W6" s="104" t="s">
        <v>470</v>
      </c>
      <c r="X6" s="122" t="s">
        <v>174</v>
      </c>
      <c r="Y6" s="110" t="s">
        <v>279</v>
      </c>
    </row>
    <row r="7" spans="1:25" s="94" customFormat="1" ht="96">
      <c r="A7" s="131"/>
      <c r="B7" s="54" t="str">
        <f>LOOKUP(CNC!H$27,E$2:Y$2,E7:Y7)</f>
        <v>Choose a language furthest down on the right side and make your choices in the drop downs and fill in the first four squares. By filling in sufficient information the program will present a recommended range of milling cutters. When you have chosen one of the cutters, information will be shown about the cutter including recommended cutting data and the time to produce the thread. The complete CNC program will also be shown. The CNC program can be copied and pasted into your CNC file. The other six squares shall only be completed if you do not accept the recommended.</v>
      </c>
      <c r="C7" s="131"/>
      <c r="E7" s="91" t="s">
        <v>1215</v>
      </c>
      <c r="F7" s="57" t="s">
        <v>1020</v>
      </c>
      <c r="G7" s="57" t="s">
        <v>1144</v>
      </c>
      <c r="H7" s="57" t="s">
        <v>1075</v>
      </c>
      <c r="I7" s="57" t="s">
        <v>985</v>
      </c>
      <c r="J7" s="93" t="s">
        <v>1857</v>
      </c>
      <c r="K7" s="93" t="s">
        <v>383</v>
      </c>
      <c r="L7" s="57" t="s">
        <v>1303</v>
      </c>
      <c r="M7" s="57" t="s">
        <v>1876</v>
      </c>
      <c r="N7" s="93" t="s">
        <v>1370</v>
      </c>
      <c r="O7" s="93" t="s">
        <v>1574</v>
      </c>
      <c r="P7" s="106" t="s">
        <v>236</v>
      </c>
      <c r="Q7" s="57" t="s">
        <v>1342</v>
      </c>
      <c r="R7" s="93" t="s">
        <v>606</v>
      </c>
      <c r="S7" s="57" t="s">
        <v>139</v>
      </c>
      <c r="T7" s="57" t="s">
        <v>234</v>
      </c>
      <c r="U7" s="129" t="s">
        <v>541</v>
      </c>
      <c r="V7" s="134" t="s">
        <v>0</v>
      </c>
      <c r="W7" s="135" t="s">
        <v>1</v>
      </c>
      <c r="X7" s="123" t="s">
        <v>38</v>
      </c>
      <c r="Y7" s="130" t="s">
        <v>116</v>
      </c>
    </row>
    <row r="8" spans="1:25" ht="12.75">
      <c r="A8" s="52"/>
      <c r="B8" s="55"/>
      <c r="C8" s="52"/>
      <c r="E8" s="86"/>
      <c r="F8" s="58"/>
      <c r="H8" s="58"/>
      <c r="I8" s="58"/>
      <c r="N8" s="94"/>
      <c r="O8" s="94"/>
      <c r="Q8" s="58"/>
      <c r="S8" s="58"/>
      <c r="T8" s="58"/>
      <c r="U8" s="100"/>
      <c r="W8" s="105"/>
      <c r="X8" s="124"/>
      <c r="Y8" s="111"/>
    </row>
    <row r="9" spans="1:25" ht="15">
      <c r="A9" s="52"/>
      <c r="B9" s="53" t="str">
        <f>LOOKUP(CNC!H$27,E$2:Y$2,E9:Y9)</f>
        <v>Compensation of Tooling</v>
      </c>
      <c r="C9" s="52"/>
      <c r="E9" s="90" t="s">
        <v>1208</v>
      </c>
      <c r="F9" s="56" t="s">
        <v>1012</v>
      </c>
      <c r="G9" s="56" t="s">
        <v>1145</v>
      </c>
      <c r="H9" s="56" t="s">
        <v>928</v>
      </c>
      <c r="I9" s="56" t="s">
        <v>753</v>
      </c>
      <c r="J9" s="56" t="s">
        <v>1858</v>
      </c>
      <c r="K9" s="92" t="s">
        <v>384</v>
      </c>
      <c r="L9" s="56" t="s">
        <v>1304</v>
      </c>
      <c r="M9" s="56" t="s">
        <v>1877</v>
      </c>
      <c r="N9" s="95" t="s">
        <v>1371</v>
      </c>
      <c r="O9" s="95" t="s">
        <v>1575</v>
      </c>
      <c r="P9" s="1" t="s">
        <v>237</v>
      </c>
      <c r="Q9" s="56" t="s">
        <v>1408</v>
      </c>
      <c r="R9" s="1" t="s">
        <v>607</v>
      </c>
      <c r="S9" s="56" t="s">
        <v>524</v>
      </c>
      <c r="T9" s="56" t="s">
        <v>755</v>
      </c>
      <c r="U9" s="99" t="s">
        <v>465</v>
      </c>
      <c r="V9" s="114" t="s">
        <v>228</v>
      </c>
      <c r="W9" s="104" t="s">
        <v>471</v>
      </c>
      <c r="X9" s="122" t="s">
        <v>175</v>
      </c>
      <c r="Y9" s="110" t="s">
        <v>144</v>
      </c>
    </row>
    <row r="10" spans="1:25" s="94" customFormat="1" ht="51.75">
      <c r="A10" s="131"/>
      <c r="B10" s="54" t="str">
        <f>LOOKUP(CNC!H$27,E$2:Y$2,E10:Y10)</f>
        <v>In this program, compensation of tooling is only used for smaller adjustments. This will eliminate problems which can occur when one uses compensation of radius in short movements. Chose therefore a value close to zero for cutter diameter in tooling library of the control system.</v>
      </c>
      <c r="C10" s="131"/>
      <c r="E10" s="91" t="s">
        <v>1155</v>
      </c>
      <c r="F10" s="57" t="s">
        <v>1022</v>
      </c>
      <c r="G10" s="57" t="s">
        <v>1338</v>
      </c>
      <c r="H10" s="57" t="s">
        <v>912</v>
      </c>
      <c r="I10" s="57" t="s">
        <v>809</v>
      </c>
      <c r="J10" s="93" t="s">
        <v>1859</v>
      </c>
      <c r="K10" s="93" t="s">
        <v>390</v>
      </c>
      <c r="L10" s="57" t="s">
        <v>1160</v>
      </c>
      <c r="M10" s="57" t="s">
        <v>1878</v>
      </c>
      <c r="N10" s="93" t="s">
        <v>1334</v>
      </c>
      <c r="O10" s="93" t="s">
        <v>1598</v>
      </c>
      <c r="P10" s="57" t="s">
        <v>319</v>
      </c>
      <c r="Q10" s="57" t="s">
        <v>1427</v>
      </c>
      <c r="R10" s="93" t="s">
        <v>702</v>
      </c>
      <c r="S10" s="57" t="s">
        <v>542</v>
      </c>
      <c r="T10" s="57" t="s">
        <v>887</v>
      </c>
      <c r="U10" s="129" t="s">
        <v>540</v>
      </c>
      <c r="V10" s="136" t="s">
        <v>50</v>
      </c>
      <c r="W10" s="135" t="s">
        <v>51</v>
      </c>
      <c r="X10" s="123" t="s">
        <v>114</v>
      </c>
      <c r="Y10" s="130" t="s">
        <v>115</v>
      </c>
    </row>
    <row r="11" spans="1:25" ht="12.75">
      <c r="A11" s="52"/>
      <c r="B11" s="55"/>
      <c r="C11" s="52"/>
      <c r="E11" s="86"/>
      <c r="F11" s="58"/>
      <c r="H11" s="58"/>
      <c r="I11" s="58"/>
      <c r="J11" s="96"/>
      <c r="N11" s="94"/>
      <c r="O11" s="94"/>
      <c r="Q11" s="58"/>
      <c r="R11" s="96"/>
      <c r="S11" s="58"/>
      <c r="T11" s="58"/>
      <c r="U11" s="100"/>
      <c r="W11" s="105"/>
      <c r="X11" s="124"/>
      <c r="Y11" s="111"/>
    </row>
    <row r="12" spans="1:25" ht="15">
      <c r="A12" s="52"/>
      <c r="B12" s="53" t="str">
        <f>LOOKUP(CNC!H$27,E$2:Y$2,E12:Y12)</f>
        <v>Correct Thread Diameter right away</v>
      </c>
      <c r="C12" s="52"/>
      <c r="E12" s="90" t="s">
        <v>1152</v>
      </c>
      <c r="F12" s="56" t="s">
        <v>1023</v>
      </c>
      <c r="G12" s="56" t="s">
        <v>1339</v>
      </c>
      <c r="H12" s="56" t="s">
        <v>937</v>
      </c>
      <c r="I12" s="56" t="s">
        <v>810</v>
      </c>
      <c r="J12" s="56" t="s">
        <v>1860</v>
      </c>
      <c r="K12" s="92" t="s">
        <v>391</v>
      </c>
      <c r="L12" s="56" t="s">
        <v>1161</v>
      </c>
      <c r="M12" s="56" t="s">
        <v>1879</v>
      </c>
      <c r="N12" s="95" t="s">
        <v>1335</v>
      </c>
      <c r="O12" s="95" t="s">
        <v>1599</v>
      </c>
      <c r="P12" s="1" t="s">
        <v>361</v>
      </c>
      <c r="Q12" s="56" t="s">
        <v>1403</v>
      </c>
      <c r="R12" s="97" t="s">
        <v>703</v>
      </c>
      <c r="S12" s="56" t="s">
        <v>523</v>
      </c>
      <c r="T12" s="56" t="s">
        <v>772</v>
      </c>
      <c r="U12" s="99" t="s">
        <v>454</v>
      </c>
      <c r="V12" s="114" t="s">
        <v>136</v>
      </c>
      <c r="W12" s="104" t="s">
        <v>472</v>
      </c>
      <c r="X12" s="122" t="s">
        <v>176</v>
      </c>
      <c r="Y12" s="110" t="s">
        <v>145</v>
      </c>
    </row>
    <row r="13" spans="1:25" s="94" customFormat="1" ht="84">
      <c r="A13" s="131"/>
      <c r="B13" s="54" t="str">
        <f>LOOKUP(CNC!H$27,E$2:Y$2,E13:Y13)</f>
        <v>The pitch diameter have been optically messured on thread mills from SmiCut and the theoretical external diameter has been individually laser market on each cutter. This measurement shall be noted in the square beside cutter diameter (square 5). You will most probably get a correct thread straight away. In case you need to make adjustments you can do this in the same square or in the tooling library of the control system.</v>
      </c>
      <c r="C13" s="131"/>
      <c r="E13" s="91" t="s">
        <v>1896</v>
      </c>
      <c r="F13" s="57" t="s">
        <v>680</v>
      </c>
      <c r="G13" s="57" t="s">
        <v>1288</v>
      </c>
      <c r="H13" s="57" t="s">
        <v>1033</v>
      </c>
      <c r="I13" s="57" t="s">
        <v>941</v>
      </c>
      <c r="J13" s="155" t="s">
        <v>1861</v>
      </c>
      <c r="K13" s="93" t="s">
        <v>350</v>
      </c>
      <c r="L13" s="57" t="s">
        <v>1111</v>
      </c>
      <c r="M13" s="57" t="s">
        <v>1880</v>
      </c>
      <c r="N13" s="93" t="s">
        <v>1391</v>
      </c>
      <c r="O13" s="93" t="s">
        <v>1669</v>
      </c>
      <c r="P13" s="57" t="s">
        <v>188</v>
      </c>
      <c r="Q13" s="57" t="s">
        <v>1428</v>
      </c>
      <c r="R13" s="93" t="s">
        <v>505</v>
      </c>
      <c r="S13" s="57" t="s">
        <v>548</v>
      </c>
      <c r="T13" s="57" t="s">
        <v>750</v>
      </c>
      <c r="U13" s="129" t="s">
        <v>492</v>
      </c>
      <c r="V13" s="134" t="s">
        <v>129</v>
      </c>
      <c r="W13" s="135" t="s">
        <v>130</v>
      </c>
      <c r="X13" s="125" t="s">
        <v>55</v>
      </c>
      <c r="Y13" s="130" t="s">
        <v>54</v>
      </c>
    </row>
    <row r="14" spans="1:25" ht="12.75">
      <c r="A14" s="52"/>
      <c r="B14" s="55"/>
      <c r="C14" s="52"/>
      <c r="E14" s="86"/>
      <c r="F14" s="58"/>
      <c r="H14" s="58"/>
      <c r="I14" s="58"/>
      <c r="J14" s="96"/>
      <c r="N14" s="94"/>
      <c r="O14" s="94"/>
      <c r="Q14" s="58"/>
      <c r="R14" s="96"/>
      <c r="S14" s="58"/>
      <c r="T14" s="58"/>
      <c r="U14" s="100"/>
      <c r="W14" s="105"/>
      <c r="X14" s="124"/>
      <c r="Y14" s="111"/>
    </row>
    <row r="15" spans="1:25" ht="15">
      <c r="A15" s="52"/>
      <c r="B15" s="53" t="str">
        <f>LOOKUP(CNC!H$27,E$2:Y$2,E15:Y15)</f>
        <v>Unlisted and Special Tooling</v>
      </c>
      <c r="C15" s="52"/>
      <c r="E15" s="90" t="s">
        <v>1074</v>
      </c>
      <c r="F15" s="56" t="s">
        <v>1024</v>
      </c>
      <c r="G15" s="56" t="s">
        <v>1289</v>
      </c>
      <c r="H15" s="56" t="s">
        <v>1207</v>
      </c>
      <c r="I15" s="56" t="s">
        <v>560</v>
      </c>
      <c r="J15" s="56" t="s">
        <v>1862</v>
      </c>
      <c r="K15" s="92" t="s">
        <v>351</v>
      </c>
      <c r="L15" s="56" t="s">
        <v>1171</v>
      </c>
      <c r="M15" s="56" t="s">
        <v>1881</v>
      </c>
      <c r="N15" s="95" t="s">
        <v>1392</v>
      </c>
      <c r="O15" s="95" t="s">
        <v>1600</v>
      </c>
      <c r="P15" s="1" t="s">
        <v>349</v>
      </c>
      <c r="Q15" s="56" t="s">
        <v>1611</v>
      </c>
      <c r="R15" s="97" t="s">
        <v>543</v>
      </c>
      <c r="S15" s="56" t="s">
        <v>522</v>
      </c>
      <c r="T15" s="56" t="s">
        <v>740</v>
      </c>
      <c r="U15" s="99" t="s">
        <v>493</v>
      </c>
      <c r="V15" s="114" t="s">
        <v>137</v>
      </c>
      <c r="W15" s="104" t="s">
        <v>473</v>
      </c>
      <c r="X15" s="122" t="s">
        <v>177</v>
      </c>
      <c r="Y15" s="110" t="s">
        <v>146</v>
      </c>
    </row>
    <row r="16" spans="1:25" s="94" customFormat="1" ht="36">
      <c r="A16" s="131"/>
      <c r="B16" s="54" t="str">
        <f>LOOKUP(CNC!H$27,E$2:Y$2,E16:Y16)</f>
        <v>If you are using a tool which is not in the list then you can enter cutter diameter, length of cutting edge and number of flutes in square 5-7. </v>
      </c>
      <c r="C16" s="131"/>
      <c r="E16" s="91" t="s">
        <v>1195</v>
      </c>
      <c r="F16" s="57" t="s">
        <v>571</v>
      </c>
      <c r="G16" s="57" t="s">
        <v>1340</v>
      </c>
      <c r="H16" s="57" t="s">
        <v>1029</v>
      </c>
      <c r="I16" s="57" t="s">
        <v>931</v>
      </c>
      <c r="J16" s="93" t="s">
        <v>1863</v>
      </c>
      <c r="K16" s="93" t="s">
        <v>333</v>
      </c>
      <c r="L16" s="57" t="s">
        <v>1162</v>
      </c>
      <c r="M16" s="57" t="s">
        <v>1882</v>
      </c>
      <c r="N16" s="93" t="s">
        <v>1393</v>
      </c>
      <c r="O16" s="93" t="s">
        <v>1515</v>
      </c>
      <c r="P16" s="57" t="s">
        <v>258</v>
      </c>
      <c r="Q16" s="57" t="s">
        <v>1398</v>
      </c>
      <c r="R16" s="93" t="s">
        <v>546</v>
      </c>
      <c r="S16" s="57" t="s">
        <v>506</v>
      </c>
      <c r="T16" s="57" t="s">
        <v>826</v>
      </c>
      <c r="U16" s="129" t="s">
        <v>510</v>
      </c>
      <c r="V16" s="134" t="s">
        <v>138</v>
      </c>
      <c r="W16" s="135" t="s">
        <v>57</v>
      </c>
      <c r="X16" s="123" t="s">
        <v>58</v>
      </c>
      <c r="Y16" s="130" t="s">
        <v>59</v>
      </c>
    </row>
    <row r="17" spans="1:25" ht="12.75">
      <c r="A17" s="52"/>
      <c r="B17" s="55"/>
      <c r="C17" s="52"/>
      <c r="E17" s="86"/>
      <c r="F17" s="58"/>
      <c r="H17" s="58"/>
      <c r="I17" s="58"/>
      <c r="J17" s="96"/>
      <c r="N17" s="94"/>
      <c r="O17" s="94"/>
      <c r="Q17" s="58"/>
      <c r="R17" s="96"/>
      <c r="S17" s="58"/>
      <c r="T17" s="58"/>
      <c r="U17" s="100"/>
      <c r="W17" s="105"/>
      <c r="X17" s="124"/>
      <c r="Y17" s="111"/>
    </row>
    <row r="18" spans="1:25" ht="15">
      <c r="A18" s="52"/>
      <c r="B18" s="53" t="str">
        <f>LOOKUP(CNC!H$27,E$2:Y$2,E18:Y18)</f>
        <v>Thread Mills with one or two teeth per flute</v>
      </c>
      <c r="C18" s="52"/>
      <c r="E18" s="90" t="s">
        <v>973</v>
      </c>
      <c r="F18" s="56" t="s">
        <v>933</v>
      </c>
      <c r="G18" s="56" t="s">
        <v>1341</v>
      </c>
      <c r="H18" s="56" t="s">
        <v>1205</v>
      </c>
      <c r="I18" s="56" t="s">
        <v>972</v>
      </c>
      <c r="J18" s="56" t="s">
        <v>1864</v>
      </c>
      <c r="K18" s="92" t="s">
        <v>334</v>
      </c>
      <c r="L18" s="56" t="s">
        <v>1163</v>
      </c>
      <c r="M18" s="56" t="s">
        <v>1883</v>
      </c>
      <c r="N18" s="95" t="s">
        <v>1333</v>
      </c>
      <c r="O18" s="95" t="s">
        <v>1516</v>
      </c>
      <c r="P18" s="1" t="s">
        <v>259</v>
      </c>
      <c r="Q18" s="56" t="s">
        <v>1399</v>
      </c>
      <c r="R18" s="97" t="s">
        <v>547</v>
      </c>
      <c r="S18" s="56" t="s">
        <v>521</v>
      </c>
      <c r="T18" s="56" t="s">
        <v>563</v>
      </c>
      <c r="U18" s="99" t="s">
        <v>511</v>
      </c>
      <c r="V18" s="114" t="s">
        <v>223</v>
      </c>
      <c r="W18" s="104" t="s">
        <v>534</v>
      </c>
      <c r="X18" s="122" t="s">
        <v>140</v>
      </c>
      <c r="Y18" s="110" t="s">
        <v>147</v>
      </c>
    </row>
    <row r="19" spans="1:25" s="94" customFormat="1" ht="60">
      <c r="A19" s="131"/>
      <c r="B19" s="54" t="str">
        <f>LOOKUP(CNC!H$27,E$2:Y$2,E19:Y19)</f>
        <v>The program will automatically make a spiral from start until the thread is finished when you choose a standard cutter type NM with one or two teeth. If you want to do the same with a another tool, then you have to register the pitch as length of cutting edge in square 6.</v>
      </c>
      <c r="C19" s="131"/>
      <c r="E19" s="91" t="s">
        <v>1159</v>
      </c>
      <c r="F19" s="57" t="s">
        <v>619</v>
      </c>
      <c r="G19" s="57" t="s">
        <v>1209</v>
      </c>
      <c r="H19" s="57" t="s">
        <v>724</v>
      </c>
      <c r="I19" s="57" t="s">
        <v>690</v>
      </c>
      <c r="J19" s="155" t="s">
        <v>1865</v>
      </c>
      <c r="K19" s="93" t="s">
        <v>315</v>
      </c>
      <c r="L19" s="57" t="s">
        <v>1352</v>
      </c>
      <c r="M19" s="57" t="s">
        <v>1884</v>
      </c>
      <c r="N19" s="93" t="s">
        <v>1281</v>
      </c>
      <c r="O19" s="93" t="s">
        <v>1700</v>
      </c>
      <c r="P19" s="57" t="s">
        <v>260</v>
      </c>
      <c r="Q19" s="57" t="s">
        <v>1394</v>
      </c>
      <c r="R19" s="93" t="s">
        <v>550</v>
      </c>
      <c r="S19" s="57" t="s">
        <v>423</v>
      </c>
      <c r="T19" s="57" t="s">
        <v>839</v>
      </c>
      <c r="U19" s="129" t="s">
        <v>428</v>
      </c>
      <c r="V19" s="134" t="s">
        <v>52</v>
      </c>
      <c r="W19" s="135" t="s">
        <v>61</v>
      </c>
      <c r="X19" s="123" t="s">
        <v>62</v>
      </c>
      <c r="Y19" s="130" t="s">
        <v>29</v>
      </c>
    </row>
    <row r="20" spans="1:25" ht="12.75">
      <c r="A20" s="52"/>
      <c r="B20" s="55"/>
      <c r="C20" s="52"/>
      <c r="E20" s="86"/>
      <c r="F20" s="58"/>
      <c r="H20" s="58"/>
      <c r="I20" s="58"/>
      <c r="J20" s="96"/>
      <c r="N20" s="94"/>
      <c r="O20" s="94"/>
      <c r="Q20" s="58"/>
      <c r="R20" s="96"/>
      <c r="S20" s="58"/>
      <c r="T20" s="58"/>
      <c r="U20" s="100"/>
      <c r="W20" s="105"/>
      <c r="X20" s="124"/>
      <c r="Y20" s="111"/>
    </row>
    <row r="21" spans="1:25" ht="15">
      <c r="A21" s="52"/>
      <c r="B21" s="53" t="str">
        <f>LOOKUP(CNC!H$27,E$2:Y$2,E21:Y21)</f>
        <v>Thread Mills with smaller waist</v>
      </c>
      <c r="C21" s="52"/>
      <c r="E21" s="90" t="s">
        <v>1100</v>
      </c>
      <c r="F21" s="56" t="s">
        <v>934</v>
      </c>
      <c r="G21" s="56" t="s">
        <v>1210</v>
      </c>
      <c r="H21" s="56" t="s">
        <v>1206</v>
      </c>
      <c r="I21" s="56" t="s">
        <v>1069</v>
      </c>
      <c r="J21" s="56" t="s">
        <v>1866</v>
      </c>
      <c r="K21" s="1" t="s">
        <v>316</v>
      </c>
      <c r="L21" s="56" t="s">
        <v>1296</v>
      </c>
      <c r="M21" s="56" t="s">
        <v>1885</v>
      </c>
      <c r="N21" s="95" t="s">
        <v>1282</v>
      </c>
      <c r="O21" s="95" t="s">
        <v>1601</v>
      </c>
      <c r="P21" s="1" t="s">
        <v>261</v>
      </c>
      <c r="Q21" s="56" t="s">
        <v>1395</v>
      </c>
      <c r="R21" s="97" t="s">
        <v>638</v>
      </c>
      <c r="S21" s="56" t="s">
        <v>520</v>
      </c>
      <c r="T21" s="56" t="s">
        <v>792</v>
      </c>
      <c r="U21" s="99" t="s">
        <v>429</v>
      </c>
      <c r="V21" s="115" t="s">
        <v>224</v>
      </c>
      <c r="W21" s="104" t="s">
        <v>463</v>
      </c>
      <c r="X21" s="122" t="s">
        <v>141</v>
      </c>
      <c r="Y21" s="110" t="s">
        <v>100</v>
      </c>
    </row>
    <row r="22" spans="1:25" s="94" customFormat="1" ht="36">
      <c r="A22" s="131"/>
      <c r="B22" s="54" t="str">
        <f>LOOKUP(CNC!H$27,E$2:Y$2,E22:Y22)</f>
        <v>The program will automatically produce the thread in several steps if a thread mill has shorter cutting length than the requested length.</v>
      </c>
      <c r="C22" s="131"/>
      <c r="E22" s="91" t="s">
        <v>1142</v>
      </c>
      <c r="F22" s="57" t="s">
        <v>689</v>
      </c>
      <c r="G22" s="57" t="s">
        <v>1153</v>
      </c>
      <c r="H22" s="57" t="s">
        <v>1013</v>
      </c>
      <c r="I22" s="57" t="s">
        <v>1049</v>
      </c>
      <c r="J22" s="93" t="s">
        <v>1867</v>
      </c>
      <c r="K22" s="137" t="s">
        <v>346</v>
      </c>
      <c r="L22" s="57" t="s">
        <v>1315</v>
      </c>
      <c r="M22" s="57" t="s">
        <v>1886</v>
      </c>
      <c r="N22" s="93" t="s">
        <v>1283</v>
      </c>
      <c r="O22" s="93" t="s">
        <v>1610</v>
      </c>
      <c r="P22" s="57" t="s">
        <v>262</v>
      </c>
      <c r="Q22" s="57" t="s">
        <v>1464</v>
      </c>
      <c r="R22" s="93" t="s">
        <v>639</v>
      </c>
      <c r="S22" s="57" t="s">
        <v>558</v>
      </c>
      <c r="T22" s="57" t="s">
        <v>974</v>
      </c>
      <c r="U22" s="129" t="s">
        <v>554</v>
      </c>
      <c r="V22" s="138" t="s">
        <v>56</v>
      </c>
      <c r="W22" s="135" t="s">
        <v>63</v>
      </c>
      <c r="X22" s="123" t="s">
        <v>148</v>
      </c>
      <c r="Y22" s="130" t="s">
        <v>149</v>
      </c>
    </row>
    <row r="23" spans="1:25" ht="12.75">
      <c r="A23" s="52"/>
      <c r="B23" s="55"/>
      <c r="C23" s="52"/>
      <c r="E23" s="86"/>
      <c r="F23" s="58"/>
      <c r="H23" s="58"/>
      <c r="I23" s="58"/>
      <c r="J23" s="96"/>
      <c r="N23" s="94"/>
      <c r="O23" s="94"/>
      <c r="Q23" s="58"/>
      <c r="R23" s="96"/>
      <c r="S23" s="58"/>
      <c r="T23" s="58"/>
      <c r="U23" s="100"/>
      <c r="W23" s="105"/>
      <c r="X23" s="124"/>
      <c r="Y23" s="111"/>
    </row>
    <row r="24" spans="1:25" ht="15">
      <c r="A24" s="52"/>
      <c r="B24" s="53" t="str">
        <f>LOOKUP(CNC!H$27,E$2:Y$2,E24:Y24)</f>
        <v>Thread Milling Cutters with Indexable Inserts</v>
      </c>
      <c r="C24" s="52"/>
      <c r="E24" s="90" t="s">
        <v>1143</v>
      </c>
      <c r="F24" s="56" t="s">
        <v>957</v>
      </c>
      <c r="G24" s="56" t="s">
        <v>1262</v>
      </c>
      <c r="H24" s="56" t="s">
        <v>833</v>
      </c>
      <c r="I24" s="56" t="s">
        <v>785</v>
      </c>
      <c r="J24" s="56" t="s">
        <v>1868</v>
      </c>
      <c r="K24" s="1" t="s">
        <v>347</v>
      </c>
      <c r="L24" s="56" t="s">
        <v>1336</v>
      </c>
      <c r="M24" s="56" t="s">
        <v>1887</v>
      </c>
      <c r="N24" s="95" t="s">
        <v>1284</v>
      </c>
      <c r="O24" s="95" t="s">
        <v>1649</v>
      </c>
      <c r="P24" s="1" t="s">
        <v>263</v>
      </c>
      <c r="Q24" s="56" t="s">
        <v>1465</v>
      </c>
      <c r="R24" s="97" t="s">
        <v>551</v>
      </c>
      <c r="S24" s="56" t="s">
        <v>519</v>
      </c>
      <c r="T24" s="56" t="s">
        <v>869</v>
      </c>
      <c r="U24" s="99" t="s">
        <v>555</v>
      </c>
      <c r="V24" s="114" t="s">
        <v>225</v>
      </c>
      <c r="W24" s="104" t="s">
        <v>400</v>
      </c>
      <c r="X24" s="122" t="s">
        <v>142</v>
      </c>
      <c r="Y24" s="110" t="s">
        <v>101</v>
      </c>
    </row>
    <row r="25" spans="1:25" s="94" customFormat="1" ht="48">
      <c r="A25" s="131"/>
      <c r="B25" s="54" t="str">
        <f>LOOKUP(CNC!H$27,E$2:Y$2,E25:Y25)</f>
        <v>Register the cutter diameter in square 5, in square 6 the cutting length of the insert and in square 7 the number of inserts. If needed, the program will automatically produce the full length of thread in several passes.</v>
      </c>
      <c r="C25" s="131"/>
      <c r="E25" s="91" t="s">
        <v>1018</v>
      </c>
      <c r="F25" s="57" t="s">
        <v>559</v>
      </c>
      <c r="G25" s="57" t="s">
        <v>1130</v>
      </c>
      <c r="H25" s="57" t="s">
        <v>1001</v>
      </c>
      <c r="I25" s="57" t="s">
        <v>1050</v>
      </c>
      <c r="J25" s="93" t="s">
        <v>1869</v>
      </c>
      <c r="K25" s="93" t="s">
        <v>317</v>
      </c>
      <c r="L25" s="57" t="s">
        <v>1383</v>
      </c>
      <c r="M25" s="57" t="s">
        <v>1888</v>
      </c>
      <c r="N25" s="93" t="s">
        <v>1540</v>
      </c>
      <c r="O25" s="93" t="s">
        <v>1701</v>
      </c>
      <c r="P25" s="57" t="s">
        <v>310</v>
      </c>
      <c r="Q25" s="57" t="s">
        <v>1292</v>
      </c>
      <c r="R25" s="93" t="s">
        <v>531</v>
      </c>
      <c r="S25" s="57" t="s">
        <v>516</v>
      </c>
      <c r="T25" s="57" t="s">
        <v>662</v>
      </c>
      <c r="U25" s="129" t="s">
        <v>556</v>
      </c>
      <c r="V25" s="134" t="s">
        <v>64</v>
      </c>
      <c r="W25" s="135" t="s">
        <v>65</v>
      </c>
      <c r="X25" s="123" t="s">
        <v>66</v>
      </c>
      <c r="Y25" s="130" t="s">
        <v>67</v>
      </c>
    </row>
    <row r="26" spans="1:25" ht="12.75">
      <c r="A26" s="52"/>
      <c r="B26" s="55"/>
      <c r="C26" s="52"/>
      <c r="E26" s="86"/>
      <c r="F26" s="58"/>
      <c r="H26" s="58"/>
      <c r="I26" s="58"/>
      <c r="J26" s="96"/>
      <c r="N26" s="94"/>
      <c r="O26" s="94"/>
      <c r="Q26" s="58"/>
      <c r="R26" s="96"/>
      <c r="S26" s="58"/>
      <c r="T26" s="58"/>
      <c r="U26" s="100"/>
      <c r="W26" s="105"/>
      <c r="X26" s="124"/>
      <c r="Y26" s="111"/>
    </row>
    <row r="27" spans="1:25" ht="15">
      <c r="A27" s="52"/>
      <c r="B27" s="53" t="str">
        <f>LOOKUP(CNC!H$27,E$2:Y$2,E27:Y27)</f>
        <v>Tapered Threads</v>
      </c>
      <c r="C27" s="52"/>
      <c r="E27" s="90" t="s">
        <v>1019</v>
      </c>
      <c r="F27" s="56" t="s">
        <v>1015</v>
      </c>
      <c r="G27" s="56" t="s">
        <v>1265</v>
      </c>
      <c r="H27" s="56" t="s">
        <v>1002</v>
      </c>
      <c r="I27" s="56" t="s">
        <v>815</v>
      </c>
      <c r="J27" s="56" t="s">
        <v>1870</v>
      </c>
      <c r="K27" s="92" t="s">
        <v>318</v>
      </c>
      <c r="L27" s="56" t="s">
        <v>1384</v>
      </c>
      <c r="M27" s="56" t="s">
        <v>1889</v>
      </c>
      <c r="N27" s="95" t="s">
        <v>1434</v>
      </c>
      <c r="O27" s="95" t="s">
        <v>1650</v>
      </c>
      <c r="P27" s="1" t="s">
        <v>311</v>
      </c>
      <c r="Q27" s="56" t="s">
        <v>1642</v>
      </c>
      <c r="R27" s="97" t="s">
        <v>552</v>
      </c>
      <c r="S27" s="56" t="s">
        <v>518</v>
      </c>
      <c r="T27" s="56" t="s">
        <v>663</v>
      </c>
      <c r="U27" s="99" t="s">
        <v>557</v>
      </c>
      <c r="V27" s="114" t="s">
        <v>213</v>
      </c>
      <c r="W27" s="104" t="s">
        <v>464</v>
      </c>
      <c r="X27" s="122" t="s">
        <v>163</v>
      </c>
      <c r="Y27" s="110" t="s">
        <v>102</v>
      </c>
    </row>
    <row r="28" spans="1:25" s="94" customFormat="1" ht="36">
      <c r="A28" s="131"/>
      <c r="B28" s="54" t="str">
        <f>LOOKUP(CNC!H$27,E$2:Y$2,E28:Y28)</f>
        <v>The cutter diameter is over the last full thread closest to the shaft. It is therefore necessary to register the thread diameter where this part of the milling cutter is working.</v>
      </c>
      <c r="C28" s="131"/>
      <c r="E28" s="91" t="s">
        <v>1221</v>
      </c>
      <c r="F28" s="57" t="s">
        <v>867</v>
      </c>
      <c r="G28" s="57" t="s">
        <v>1181</v>
      </c>
      <c r="H28" s="57" t="s">
        <v>688</v>
      </c>
      <c r="I28" s="57" t="s">
        <v>1035</v>
      </c>
      <c r="J28" s="93" t="s">
        <v>1871</v>
      </c>
      <c r="K28" s="93" t="s">
        <v>362</v>
      </c>
      <c r="L28" s="57" t="s">
        <v>1266</v>
      </c>
      <c r="M28" s="57" t="s">
        <v>1890</v>
      </c>
      <c r="N28" s="93" t="s">
        <v>1518</v>
      </c>
      <c r="O28" s="93" t="s">
        <v>1597</v>
      </c>
      <c r="P28" s="57" t="s">
        <v>312</v>
      </c>
      <c r="Q28" s="57" t="s">
        <v>1541</v>
      </c>
      <c r="R28" s="93" t="s">
        <v>446</v>
      </c>
      <c r="S28" s="57" t="s">
        <v>60</v>
      </c>
      <c r="T28" s="57" t="s">
        <v>686</v>
      </c>
      <c r="U28" s="129" t="s">
        <v>443</v>
      </c>
      <c r="V28" s="136" t="s">
        <v>214</v>
      </c>
      <c r="W28" s="135" t="s">
        <v>70</v>
      </c>
      <c r="X28" s="123" t="s">
        <v>69</v>
      </c>
      <c r="Y28" s="130" t="s">
        <v>30</v>
      </c>
    </row>
    <row r="29" spans="1:25" ht="12.75">
      <c r="A29" s="52"/>
      <c r="B29" s="52"/>
      <c r="C29" s="52"/>
      <c r="E29" s="86"/>
      <c r="N29" s="34"/>
      <c r="O29" s="34"/>
      <c r="R29" s="96"/>
      <c r="S29" s="51"/>
      <c r="T29" s="51"/>
      <c r="U29" s="100"/>
      <c r="W29" s="105"/>
      <c r="X29" s="124"/>
      <c r="Y29" s="111"/>
    </row>
    <row r="30" spans="1:25" s="94" customFormat="1" ht="12.75">
      <c r="A30" s="131"/>
      <c r="B30" s="139" t="str">
        <f>LOOKUP(CNC!H$27,E$2:Y$2,E30:Y30)</f>
        <v>back</v>
      </c>
      <c r="C30" s="131"/>
      <c r="E30" s="140" t="s">
        <v>1222</v>
      </c>
      <c r="F30" s="141" t="s">
        <v>868</v>
      </c>
      <c r="G30" s="141" t="s">
        <v>1182</v>
      </c>
      <c r="H30" s="141" t="s">
        <v>874</v>
      </c>
      <c r="I30" s="141" t="s">
        <v>873</v>
      </c>
      <c r="J30" s="94" t="s">
        <v>1872</v>
      </c>
      <c r="K30" s="94" t="s">
        <v>363</v>
      </c>
      <c r="L30" s="141" t="s">
        <v>1267</v>
      </c>
      <c r="M30" t="s">
        <v>1891</v>
      </c>
      <c r="N30" s="94" t="s">
        <v>1519</v>
      </c>
      <c r="O30" s="94" t="s">
        <v>1222</v>
      </c>
      <c r="P30" s="94" t="s">
        <v>313</v>
      </c>
      <c r="Q30" s="94" t="s">
        <v>1542</v>
      </c>
      <c r="R30" s="93" t="s">
        <v>447</v>
      </c>
      <c r="S30" s="141" t="s">
        <v>517</v>
      </c>
      <c r="T30" s="141" t="s">
        <v>802</v>
      </c>
      <c r="U30" s="129" t="s">
        <v>444</v>
      </c>
      <c r="V30" s="138" t="s">
        <v>215</v>
      </c>
      <c r="W30" s="135" t="s">
        <v>31</v>
      </c>
      <c r="X30" s="126" t="s">
        <v>71</v>
      </c>
      <c r="Y30" s="130" t="s">
        <v>72</v>
      </c>
    </row>
    <row r="31" spans="1:25" ht="12.75">
      <c r="A31" s="52"/>
      <c r="B31" s="52"/>
      <c r="C31" s="52"/>
      <c r="R31" s="51"/>
      <c r="S31" s="51"/>
      <c r="T31" s="51"/>
      <c r="U31" s="51"/>
      <c r="V31" s="51"/>
      <c r="W31" s="51"/>
      <c r="X31" s="51"/>
      <c r="Y31" s="51"/>
    </row>
    <row r="33" ht="12.75">
      <c r="X33" s="36"/>
    </row>
    <row r="35" ht="12.75">
      <c r="X35" s="9"/>
    </row>
  </sheetData>
  <sheetProtection password="CDC6" sheet="1" objects="1" scenarios="1"/>
  <hyperlinks>
    <hyperlink ref="B30" location="CNC!C14" display="CNC!C14"/>
  </hyperlinks>
  <printOptions/>
  <pageMargins left="0" right="0" top="0" bottom="0" header="0" footer="0"/>
  <pageSetup blackAndWhite="1"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Schmidt</dc:creator>
  <cp:keywords/>
  <dc:description/>
  <cp:lastModifiedBy>Timo Schmidt</cp:lastModifiedBy>
  <cp:lastPrinted>2011-05-09T08:48:07Z</cp:lastPrinted>
  <dcterms:created xsi:type="dcterms:W3CDTF">2007-04-10T09:31:00Z</dcterms:created>
  <dcterms:modified xsi:type="dcterms:W3CDTF">2011-06-21T08:19:36Z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